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ой вариант" sheetId="1" r:id="rId1"/>
    <sheet name="Лист1" sheetId="2" r:id="rId2"/>
    <sheet name="Лист2" sheetId="3" r:id="rId3"/>
    <sheet name="Лист3" sheetId="4" r:id="rId4"/>
  </sheets>
  <externalReferences>
    <externalReference r:id="rId7"/>
    <externalReference r:id="rId8"/>
  </externalReferences>
  <definedNames>
    <definedName name="_xlnm.Print_Area" localSheetId="0">'мой вариант'!$A$1:$Q$1329</definedName>
  </definedNames>
  <calcPr fullCalcOnLoad="1"/>
</workbook>
</file>

<file path=xl/comments1.xml><?xml version="1.0" encoding="utf-8"?>
<comments xmlns="http://schemas.openxmlformats.org/spreadsheetml/2006/main">
  <authors>
    <author>Comp02</author>
  </authors>
  <commentList>
    <comment ref="A18" authorId="0">
      <text>
        <r>
          <rPr>
            <b/>
            <sz val="8"/>
            <rFont val="Tahoma"/>
            <family val="2"/>
          </rPr>
          <t>Comp02:</t>
        </r>
        <r>
          <rPr>
            <sz val="8"/>
            <rFont val="Tahoma"/>
            <family val="2"/>
          </rPr>
          <t xml:space="preserve">
МЭР</t>
        </r>
      </text>
    </comment>
    <comment ref="A56" authorId="0">
      <text>
        <r>
          <rPr>
            <b/>
            <sz val="8"/>
            <rFont val="Tahoma"/>
            <family val="2"/>
          </rPr>
          <t>Comp02:</t>
        </r>
        <r>
          <rPr>
            <sz val="8"/>
            <rFont val="Tahoma"/>
            <family val="2"/>
          </rPr>
          <t xml:space="preserve">
Управление</t>
        </r>
      </text>
    </comment>
    <comment ref="A88" authorId="0">
      <text>
        <r>
          <rPr>
            <b/>
            <sz val="8"/>
            <rFont val="Tahoma"/>
            <family val="2"/>
          </rPr>
          <t>Comp02:</t>
        </r>
        <r>
          <rPr>
            <sz val="8"/>
            <rFont val="Tahoma"/>
            <family val="2"/>
          </rPr>
          <t xml:space="preserve">
Финуправление</t>
        </r>
      </text>
    </comment>
    <comment ref="A103" authorId="0">
      <text>
        <r>
          <rPr>
            <b/>
            <sz val="8"/>
            <rFont val="Tahoma"/>
            <family val="2"/>
          </rPr>
          <t>Comp02:</t>
        </r>
        <r>
          <rPr>
            <sz val="8"/>
            <rFont val="Tahoma"/>
            <family val="2"/>
          </rPr>
          <t xml:space="preserve">
Финуправление</t>
        </r>
      </text>
    </comment>
  </commentList>
</comments>
</file>

<file path=xl/sharedStrings.xml><?xml version="1.0" encoding="utf-8"?>
<sst xmlns="http://schemas.openxmlformats.org/spreadsheetml/2006/main" count="6060" uniqueCount="624">
  <si>
    <t>Долгосрочная целевая программа Иркутской области "50 модельных домов культуры Приангарью" на 2011-2013 годы</t>
  </si>
  <si>
    <t>коррект</t>
  </si>
  <si>
    <t xml:space="preserve">Мероприятия в области здравоохранения, спорта и физической культуры, туризма </t>
  </si>
  <si>
    <t>512 97 00</t>
  </si>
  <si>
    <t xml:space="preserve">Пенсионное обеспечение </t>
  </si>
  <si>
    <t>491 01 00</t>
  </si>
  <si>
    <t xml:space="preserve">Социальное обеспечение </t>
  </si>
  <si>
    <t>Пенсии, пособия, выплачиваемые организациями сектора государственного управления</t>
  </si>
  <si>
    <t xml:space="preserve">Пенсии, пособия, выплачиваемые организациями сектора государственного управления </t>
  </si>
  <si>
    <t>501 00 00</t>
  </si>
  <si>
    <t xml:space="preserve">Учреждения социального обслуживания населения </t>
  </si>
  <si>
    <t>506 00 00</t>
  </si>
  <si>
    <t xml:space="preserve">Социальное обеспечение населения </t>
  </si>
  <si>
    <t xml:space="preserve">Фонд софинансирования социальных расходов </t>
  </si>
  <si>
    <t>515 00 00</t>
  </si>
  <si>
    <t xml:space="preserve">Предоставление льгот ветеранам труда за счет средств бюджетов субъектов РФ и местных бюджетов </t>
  </si>
  <si>
    <t>563</t>
  </si>
  <si>
    <t xml:space="preserve">Дотации и субвенции </t>
  </si>
  <si>
    <t>517 00 00</t>
  </si>
  <si>
    <t xml:space="preserve">Погашение задолженности бюджетов по обязательствам, вытекающим из закона РФ " О реабилитации жертв политических репрессий" </t>
  </si>
  <si>
    <t>479</t>
  </si>
  <si>
    <t xml:space="preserve">Пособия по социальной помощи населению </t>
  </si>
  <si>
    <t xml:space="preserve">Региональные целевые программы </t>
  </si>
  <si>
    <t xml:space="preserve">Мероприятия в области социальной политики </t>
  </si>
  <si>
    <t>482</t>
  </si>
  <si>
    <t xml:space="preserve">Фонд компенсации </t>
  </si>
  <si>
    <t>519 00 00</t>
  </si>
  <si>
    <t>Субвенции на оплату жилищно-коммунальных услуг отдельным категориям граждан</t>
  </si>
  <si>
    <t>561</t>
  </si>
  <si>
    <t>Борьба с беспризорностью, опека, попечительство</t>
  </si>
  <si>
    <t xml:space="preserve">Мероприятия по борьбе с беспризорностью, по опеке и попечительству </t>
  </si>
  <si>
    <t>511 00 00</t>
  </si>
  <si>
    <t xml:space="preserve">Другие пособия и компенсации </t>
  </si>
  <si>
    <t>755</t>
  </si>
  <si>
    <t>Профилактика безнадзорности и правонарушений несовершеннолетних</t>
  </si>
  <si>
    <t>481</t>
  </si>
  <si>
    <t>Другие вопросы в области социальной политики</t>
  </si>
  <si>
    <t xml:space="preserve">001 00 00 </t>
  </si>
  <si>
    <t>263</t>
  </si>
  <si>
    <t>002 47 00</t>
  </si>
  <si>
    <t>Увеличение стоимости нематериальных активов</t>
  </si>
  <si>
    <t>002 41 00</t>
  </si>
  <si>
    <t>795 02 00</t>
  </si>
  <si>
    <t>795 20 00</t>
  </si>
  <si>
    <t>795 22 00</t>
  </si>
  <si>
    <t>Обеспечение жильем молодых семей Усольского района на 2012-2019гг.</t>
  </si>
  <si>
    <t>795 34 00</t>
  </si>
  <si>
    <t>795 27 00</t>
  </si>
  <si>
    <t>Целевые программы муниципальных образований "Комплексные меры злаупотребления наркотиками"</t>
  </si>
  <si>
    <t>Почие услуги</t>
  </si>
  <si>
    <t>Почие услуги РОВД</t>
  </si>
  <si>
    <t xml:space="preserve">Социальная политика </t>
  </si>
  <si>
    <t>ФИЗКУЛЬТУРА И СПОРТ</t>
  </si>
  <si>
    <t>795 39  00</t>
  </si>
  <si>
    <t xml:space="preserve">Межбюджетные трансферты </t>
  </si>
  <si>
    <t xml:space="preserve">00 </t>
  </si>
  <si>
    <t xml:space="preserve">Дотации на выравнивание бюджетной обеспеченности поселений из районного фонда финансовой поддержки </t>
  </si>
  <si>
    <t>Выравнивание бюджетной обеспеченности</t>
  </si>
  <si>
    <t>516 00 00</t>
  </si>
  <si>
    <t>516 01 00</t>
  </si>
  <si>
    <t>008</t>
  </si>
  <si>
    <t>Безвозмездные перечисления бюджетам</t>
  </si>
  <si>
    <t>Перечисления другим бюджетам бюджетной системы Российской Федерации</t>
  </si>
  <si>
    <t>Прочие межбюджетные трансферты</t>
  </si>
  <si>
    <t>00 00 00</t>
  </si>
  <si>
    <t>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</si>
  <si>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</si>
  <si>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521 06 00</t>
  </si>
  <si>
    <t>251</t>
  </si>
  <si>
    <t>Прочие межбюджетные трансферты общего характера</t>
  </si>
  <si>
    <t>795 36  00</t>
  </si>
  <si>
    <t>522 65 00</t>
  </si>
  <si>
    <t xml:space="preserve">ИТОГО: </t>
  </si>
  <si>
    <t>Председатель Комитета финансов администрации</t>
  </si>
  <si>
    <t>муниципального района УРМО</t>
  </si>
  <si>
    <t>Н.А.Касимовская</t>
  </si>
  <si>
    <t>120</t>
  </si>
  <si>
    <t>240</t>
  </si>
  <si>
    <t>850</t>
  </si>
  <si>
    <t>Расходы на выплату персоналу государственных органов</t>
  </si>
  <si>
    <t>Иные закупки товаров, работ и услуг для государственных нужд</t>
  </si>
  <si>
    <t>Уплата налогов, сборов и иных платежей</t>
  </si>
  <si>
    <t>870</t>
  </si>
  <si>
    <t>610</t>
  </si>
  <si>
    <t>121</t>
  </si>
  <si>
    <t>122</t>
  </si>
  <si>
    <t>244</t>
  </si>
  <si>
    <t>851</t>
  </si>
  <si>
    <t>Резервные средства</t>
  </si>
  <si>
    <t>Другие вопросы в области охраны окружающей среды</t>
  </si>
  <si>
    <t>Субсидии бюджетным учреждениям</t>
  </si>
  <si>
    <t>110</t>
  </si>
  <si>
    <t>Расходы на выплату персоналу казенных учреждений</t>
  </si>
  <si>
    <t>Публичные нормативные социальные выплаты гражданам</t>
  </si>
  <si>
    <t>511</t>
  </si>
  <si>
    <t xml:space="preserve">Публичные нормативные социальные выплаты гражданам  </t>
  </si>
  <si>
    <t>к Решению Думы муниципального района</t>
  </si>
  <si>
    <t>Усольского районного муниципального образования</t>
  </si>
  <si>
    <t>7</t>
  </si>
  <si>
    <t>Дотации на выравнивание бюджетной обеспеченности субъектов Российской Федерации</t>
  </si>
  <si>
    <t>ОБЩЕГОСУДАРСТВЕННЫЕ ВОПРОСЫ</t>
  </si>
  <si>
    <t>Безвозмездные и безвозвратные перечисления организациям, за исключением государственных и муниципальных организаций переданные Доп ЭК 8.30.00.00</t>
  </si>
  <si>
    <t>тыс.руб.</t>
  </si>
  <si>
    <t>Функционирование высшего должностного лица субъекта Российской Федерации и муниципального образования</t>
  </si>
  <si>
    <t>Н.А. Касимовская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</si>
  <si>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</si>
  <si>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</si>
  <si>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</si>
  <si>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</si>
  <si>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</si>
  <si>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ОХРАНА ОКРУЖАЮЩЕЙ СРЕДЫ</t>
  </si>
  <si>
    <t>КУЛЬТУРА, КИНЕМАТОГРАФИЯ</t>
  </si>
  <si>
    <t>СОЦИАЛЬНАЯ ПОЛИТИКА</t>
  </si>
  <si>
    <t>Доплаты к пенсиям государственных служащих субъектов Российской Федерации и муниципальных служащих</t>
  </si>
  <si>
    <t>МЕЖБЮДЖЕТНЫЕ ТРАНСФЕРТЫ ОБЩЕГО ХАРАКТЕРА БЮДЖЕТАМ СУБЪЕКТОВ РОССИЙСКОЙ ФЕДЕРАЦИИ И МУНИЦИПАЛЬНЫХ ОБРАЗОВАНИЙ</t>
  </si>
  <si>
    <t>"Развитие физической культуры и спорта в муниципальном районе УРМО на 2012-2014 гг."</t>
  </si>
  <si>
    <t>Учреждения культуры и мероприятия в сфере культуры и кинематографии</t>
  </si>
  <si>
    <t>Обеспечение деятельности (оказание услуг) подведомственных учреждений</t>
  </si>
  <si>
    <t xml:space="preserve">                      </t>
  </si>
  <si>
    <t>Наименование</t>
  </si>
  <si>
    <t>РЗ</t>
  </si>
  <si>
    <t>ПР</t>
  </si>
  <si>
    <t>КЦСР</t>
  </si>
  <si>
    <t>КВР</t>
  </si>
  <si>
    <t>2013 г.</t>
  </si>
  <si>
    <t>2014 г.</t>
  </si>
  <si>
    <t>2015 г.</t>
  </si>
  <si>
    <t>9</t>
  </si>
  <si>
    <t>10</t>
  </si>
  <si>
    <t>Общегосударственные вопросы</t>
  </si>
  <si>
    <t>01</t>
  </si>
  <si>
    <t>00</t>
  </si>
  <si>
    <t>000 00 00</t>
  </si>
  <si>
    <t>000</t>
  </si>
  <si>
    <t>902</t>
  </si>
  <si>
    <t>02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</si>
  <si>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</si>
  <si>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</si>
  <si>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</si>
  <si>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</si>
  <si>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</si>
  <si>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Расходы</t>
  </si>
  <si>
    <t>Оплата труда и начисления на оплату труда</t>
  </si>
  <si>
    <t>Заработная плата</t>
  </si>
  <si>
    <t>Прочие выплаты</t>
  </si>
  <si>
    <t>Начисление на оплату труда</t>
  </si>
  <si>
    <t>211</t>
  </si>
  <si>
    <t>212</t>
  </si>
  <si>
    <t>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</si>
  <si>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</si>
  <si>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</si>
  <si>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</si>
  <si>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</si>
  <si>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Приобретение услуг</t>
  </si>
  <si>
    <t xml:space="preserve">Услуги связи </t>
  </si>
  <si>
    <t>Транспортные услуги</t>
  </si>
  <si>
    <t>Услуги по содержанию иммущества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</si>
  <si>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</si>
  <si>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</si>
  <si>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</si>
  <si>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</si>
  <si>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</si>
  <si>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Председатель представительного органа муниципального образования</t>
  </si>
  <si>
    <t>002 11 00</t>
  </si>
  <si>
    <t>221</t>
  </si>
  <si>
    <t>222</t>
  </si>
  <si>
    <t>225</t>
  </si>
  <si>
    <t>226</t>
  </si>
  <si>
    <t>290</t>
  </si>
  <si>
    <t>310</t>
  </si>
  <si>
    <t>340</t>
  </si>
  <si>
    <t>04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</si>
  <si>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</si>
  <si>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Коммунальные услуги</t>
  </si>
  <si>
    <t xml:space="preserve">Арендная плата за пользование иммуществом </t>
  </si>
  <si>
    <t>223</t>
  </si>
  <si>
    <t>224</t>
  </si>
  <si>
    <t>262</t>
  </si>
  <si>
    <t>Погашение просроченной кредиторской задолженности по состоянию на 1 апреля 2012 года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</t>
  </si>
  <si>
    <t>594 00 00</t>
  </si>
  <si>
    <t>05</t>
  </si>
  <si>
    <t>Руководство и управление в сфере установленных функций</t>
  </si>
  <si>
    <t>001 00 00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</si>
  <si>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</si>
  <si>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</si>
  <si>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901</t>
  </si>
  <si>
    <t>07</t>
  </si>
  <si>
    <t>11</t>
  </si>
  <si>
    <t>Резервные фонды</t>
  </si>
  <si>
    <t>070 00 00</t>
  </si>
  <si>
    <t>Резервные фонды местных администраций</t>
  </si>
  <si>
    <t>070 05 00</t>
  </si>
  <si>
    <t xml:space="preserve">Другие общегосударственные вопросы </t>
  </si>
  <si>
    <t>13</t>
  </si>
  <si>
    <t xml:space="preserve">000 </t>
  </si>
  <si>
    <t>002 47 01</t>
  </si>
  <si>
    <t>Увеличение стоймости основных средств</t>
  </si>
  <si>
    <t>002 45 00</t>
  </si>
  <si>
    <t>002 40 00</t>
  </si>
  <si>
    <t>002 43 00</t>
  </si>
  <si>
    <t>002 44 00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</si>
  <si>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</si>
  <si>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</si>
  <si>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</si>
  <si>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</si>
  <si>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Оплата работ, услуг</t>
  </si>
  <si>
    <t>Прочие работы, услуги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</si>
  <si>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</si>
  <si>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</si>
  <si>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</si>
  <si>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</si>
  <si>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906</t>
  </si>
  <si>
    <t>Субвенция бюджетам муниципальных районов на осуществление полномочий по подготовке и проведению  статистической переписи</t>
  </si>
  <si>
    <t>001 43 00</t>
  </si>
  <si>
    <t xml:space="preserve">Обслуживание долговых обязательств </t>
  </si>
  <si>
    <t xml:space="preserve">Увеличение задолженности по бюджетным кредитам </t>
  </si>
  <si>
    <t xml:space="preserve">Уменьшение задолженности по бюджетным кредитам </t>
  </si>
  <si>
    <t>ИТОГО:</t>
  </si>
  <si>
    <t xml:space="preserve">Целевые программы муниципальных образований </t>
  </si>
  <si>
    <t>795 00 00</t>
  </si>
  <si>
    <t>Долгосрочная целевая программа Иркутской области «Повышение эффективности бюджетных расходов Иркутской области на 2011-2013 годы»-20%</t>
  </si>
  <si>
    <t>795 38 00</t>
  </si>
  <si>
    <t>Национальная безопасность и правоохранительная деятельность</t>
  </si>
  <si>
    <t>Органы внутренних дел</t>
  </si>
  <si>
    <t>Целевые программы муниципальных образований</t>
  </si>
  <si>
    <t>795 21 00</t>
  </si>
  <si>
    <t>903</t>
  </si>
  <si>
    <t>795 23 00</t>
  </si>
  <si>
    <t>Другие вопросы в области национальной безопасности и правоохранительной деятельности</t>
  </si>
  <si>
    <t>14</t>
  </si>
  <si>
    <t>"Пожарная безопасность ,организация  и осуществление  мероприятий по защите населения  и территории  от ЧС природного и техногенного хар-ра на территории  муниципального района  на 2011-2012 гг"</t>
  </si>
  <si>
    <t>795 32 00</t>
  </si>
  <si>
    <t>"О мерах по противодействию экстремизму и терроизму вУсольском районе на 2011-2012гг"</t>
  </si>
  <si>
    <t>795 37 00</t>
  </si>
  <si>
    <t>Приобретение работ, услуг</t>
  </si>
  <si>
    <t>Общеэкономические вопросы</t>
  </si>
  <si>
    <t>Оплата труда и начисления на выплаты по оплате труда</t>
  </si>
  <si>
    <t>Начисления на выплаты по оплате труда</t>
  </si>
  <si>
    <t>Услуги связи</t>
  </si>
  <si>
    <t xml:space="preserve">Транспортные услуги </t>
  </si>
  <si>
    <t>Арендная плата за пользование имуществом</t>
  </si>
  <si>
    <t>Работы, услуги по содержанию имущества</t>
  </si>
  <si>
    <t>521 02 05</t>
  </si>
  <si>
    <t>Осуществление отдельных государственных полномочий по регулированию тарифов на тепловую энергию</t>
  </si>
  <si>
    <t>002 42 00</t>
  </si>
  <si>
    <t>Другие вопросы в области национальной экономики</t>
  </si>
  <si>
    <t>12</t>
  </si>
  <si>
    <t>Мероприятия в области строительства, архитектуры и градостроительства</t>
  </si>
  <si>
    <t>338 00 00</t>
  </si>
  <si>
    <t>Подготовка и утверждение документов территориального планирования, документации по планировке территории муниципальных образований Иркутской области</t>
  </si>
  <si>
    <t>588 00 00</t>
  </si>
  <si>
    <t>Фонд софинансирования</t>
  </si>
  <si>
    <t>010</t>
  </si>
  <si>
    <t>587 00 00</t>
  </si>
  <si>
    <t>Долгосрочные целевые программы</t>
  </si>
  <si>
    <t>522 00 00</t>
  </si>
  <si>
    <t>Долгосрочная   целевая программа "Поддержка  и развитие  малолго и  среднего предпринимательства в Иркутской области на 2011-2012гг."</t>
  </si>
  <si>
    <t>522 24 00</t>
  </si>
  <si>
    <t>Подготовка и утверждение документации территориального  планирования, документации по планировке  территории муниципальных образований Иркутской области</t>
  </si>
  <si>
    <t>522 57 01</t>
  </si>
  <si>
    <t xml:space="preserve">522 57 01 </t>
  </si>
  <si>
    <t xml:space="preserve">Частичное возмещение транспортных расходов юридических лиц и индивидуальных предпринимателей, осуществляющих торговую деятельность и доставку товаров первой необходимости </t>
  </si>
  <si>
    <t>Субсидии юридическим лицам</t>
  </si>
  <si>
    <t>006</t>
  </si>
  <si>
    <t xml:space="preserve">Прочие услуги </t>
  </si>
  <si>
    <t>905</t>
  </si>
  <si>
    <t>795 29 00</t>
  </si>
  <si>
    <t>795 28 00</t>
  </si>
  <si>
    <t>"Развитие торговли на 2013-2017гг."</t>
  </si>
  <si>
    <t>795 42 00</t>
  </si>
  <si>
    <t>Жилищное хозяйство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</si>
  <si>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социального найма в Иркутской области</t>
  </si>
  <si>
    <t>002 48 02</t>
  </si>
  <si>
    <t>Бюджетные инвестиции</t>
  </si>
  <si>
    <t>003</t>
  </si>
  <si>
    <t>Субвенции  на осуществление органами местного самоуправления ОГП по обеспечению жилыми помещениями детей сирот, оставшихся без попечения родителей</t>
  </si>
  <si>
    <t>505 36 00</t>
  </si>
  <si>
    <t>ФБ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</si>
  <si>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ФБ</t>
  </si>
  <si>
    <t>"Переселение  граждан из ветхого и аварийного  жилиго фонда  на 2011-2013 гг"</t>
  </si>
  <si>
    <t>795 24 00</t>
  </si>
  <si>
    <t>Прочие расходы "Переселение граждан из ветхого и аварийного жилья"</t>
  </si>
  <si>
    <t>Увеличение стоимости основных средств "Переселение граждан из ветхого и авар жилья"</t>
  </si>
  <si>
    <t>"Проведение капитального ремонта  многоквартирных жилых  домов на территории Усольского района  на 2012-2015 гг"</t>
  </si>
  <si>
    <t>795 36 00</t>
  </si>
  <si>
    <t>Коммунальное хозяйство</t>
  </si>
  <si>
    <t>Резервные фонды исполнительных органов государственной власти субъектов Российской Федерации</t>
  </si>
  <si>
    <t>070 04 00</t>
  </si>
  <si>
    <t>070  04 00</t>
  </si>
  <si>
    <t xml:space="preserve">Поддержка коммунального хозяйства </t>
  </si>
  <si>
    <t>351 00 00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</si>
  <si>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</si>
  <si>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</si>
  <si>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 xml:space="preserve">Безвозмездные и безвозвратные перечисления  организациям </t>
  </si>
  <si>
    <t>Безвозмездные и безвозвратные перечисления организациям, за исключением государственных и муниципальных организаций район</t>
  </si>
  <si>
    <t>Мероприятия в области коммунального хозяйства по подготовке к зиме</t>
  </si>
  <si>
    <t>351 05 00</t>
  </si>
  <si>
    <t xml:space="preserve">Софинансирование социальных программ субъектов Российской Федерации, связанных с предоставлением субсидий бюджетам субъектов Российской Федерации на социальные программы субъектов Российской Федерации, связанные с укреплением материально-технической базы </t>
  </si>
  <si>
    <t>521 00 00</t>
  </si>
  <si>
    <t>Субсидии в целях софинансирования расходных обязательств по организации в границах муниципальных образований электро-, тепло-, водоснабжения населения</t>
  </si>
  <si>
    <t>521 01 05</t>
  </si>
  <si>
    <t>Безвозмездные и безвозвратные перечисления организациям, за исключением государственных и муниципальных организаций</t>
  </si>
  <si>
    <t>Долгосрочные целевые программы ОБ</t>
  </si>
  <si>
    <t>Долгосрочная целевая программа «Энергосбережение и повышение энергетической эффективности на территории Иркутской области на 2011-2015 годы и на период до 2020 года»</t>
  </si>
  <si>
    <t>522 54 00</t>
  </si>
  <si>
    <t xml:space="preserve">Услуги по содержанию имущества </t>
  </si>
  <si>
    <t>795 25 00</t>
  </si>
  <si>
    <t>904</t>
  </si>
  <si>
    <t>795 26 00</t>
  </si>
  <si>
    <t xml:space="preserve">Прочие расходы </t>
  </si>
  <si>
    <t>79500 00</t>
  </si>
  <si>
    <t xml:space="preserve">Жилищно- коммунальное хозяйство </t>
  </si>
  <si>
    <t>241</t>
  </si>
  <si>
    <t>"Модернизация объектов  коммунальной инфраструктуры"</t>
  </si>
  <si>
    <t>795 26  00</t>
  </si>
  <si>
    <t>Дошкольное образование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</si>
  <si>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</si>
  <si>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</si>
  <si>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</si>
  <si>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Социальное обеспечение</t>
  </si>
  <si>
    <t>Пособия по социальной помощи населению</t>
  </si>
  <si>
    <t>Субсидии некоммерческим организациям</t>
  </si>
  <si>
    <t>019</t>
  </si>
  <si>
    <t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</t>
  </si>
  <si>
    <t>589 00 00</t>
  </si>
  <si>
    <t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t>
  </si>
  <si>
    <t>590 00 00</t>
  </si>
  <si>
    <t>Общее образование</t>
  </si>
  <si>
    <t>Школы-детские сады, школы начальные, неполные средние и средние</t>
  </si>
  <si>
    <t>423 99 00</t>
  </si>
  <si>
    <t>Учреждения по внешкольной работе с детьми</t>
  </si>
  <si>
    <t>423 00 00</t>
  </si>
  <si>
    <t>Учреждения по внешкольной работе с детьми ( музыкальные школы)</t>
  </si>
  <si>
    <t>327</t>
  </si>
  <si>
    <t>Молодежная политика и оздоровление детей</t>
  </si>
  <si>
    <t>005</t>
  </si>
  <si>
    <t>Организационно-воспитательная работа с молодежью</t>
  </si>
  <si>
    <t>431 00 00</t>
  </si>
  <si>
    <t xml:space="preserve">Увеличение стоимости материальных запасов </t>
  </si>
  <si>
    <t>795 04 00</t>
  </si>
  <si>
    <t>Другие вопросы в области образования</t>
  </si>
  <si>
    <t>09</t>
  </si>
  <si>
    <t>РАСХОДЫ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</si>
  <si>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</si>
  <si>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</si>
  <si>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</si>
  <si>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795 01 00</t>
  </si>
  <si>
    <t xml:space="preserve">07 </t>
  </si>
  <si>
    <t>795 05 00</t>
  </si>
  <si>
    <t>795 06 00</t>
  </si>
  <si>
    <t>795 07 00</t>
  </si>
  <si>
    <t>795 10 00</t>
  </si>
  <si>
    <t xml:space="preserve">Пособие по социальной помощи населению </t>
  </si>
  <si>
    <t>08</t>
  </si>
  <si>
    <t xml:space="preserve">Культура </t>
  </si>
  <si>
    <t>440 00 00</t>
  </si>
  <si>
    <t>522 55 00</t>
  </si>
  <si>
    <t>Библиотеки</t>
  </si>
  <si>
    <t>442 00 00</t>
  </si>
  <si>
    <t>442 99 00</t>
  </si>
  <si>
    <t>Иные межбюджетные трансферты</t>
  </si>
  <si>
    <t>017</t>
  </si>
  <si>
    <t>Региональные целевые программы</t>
  </si>
  <si>
    <t>консул</t>
  </si>
  <si>
    <t>435 99 00</t>
  </si>
  <si>
    <t>303</t>
  </si>
  <si>
    <t>ФИЗИЧЕСКАЯ КУЛЬТУРА И СПОРТ</t>
  </si>
  <si>
    <t xml:space="preserve">Физическая культура   </t>
  </si>
  <si>
    <t>Водное хозяйство</t>
  </si>
  <si>
    <t>522 25 00</t>
  </si>
  <si>
    <t>522 25 03</t>
  </si>
  <si>
    <t>Долгосрочная целевая программа Иркутской области «Защита окружающей среды  в Иркутской области» на 2011-2015 годы</t>
  </si>
  <si>
    <t>Подпрограмма "Развитие водохозяйственного комплекса  в Иркутской области  на 2013-2015 годы"</t>
  </si>
  <si>
    <t>Реализация мероприятий перечня пректов народных инициатив</t>
  </si>
  <si>
    <t>593 00 00</t>
  </si>
  <si>
    <t>435 00 00</t>
  </si>
  <si>
    <t>Учреждения, обеспечивающие предоставление услуг в сфере образования</t>
  </si>
  <si>
    <t xml:space="preserve">610 </t>
  </si>
  <si>
    <t>ДЦП Иркутской области " Социальное развитие села"</t>
  </si>
  <si>
    <t>522 18 00</t>
  </si>
  <si>
    <t>ГРБС</t>
  </si>
  <si>
    <t>2013г.</t>
  </si>
  <si>
    <t>изменения</t>
  </si>
  <si>
    <t>увеличение</t>
  </si>
  <si>
    <t>дума</t>
  </si>
  <si>
    <t>расчетный</t>
  </si>
  <si>
    <t>переданные</t>
  </si>
  <si>
    <t>3992*1,6*69,5*1,055=468,32547</t>
  </si>
  <si>
    <t>10557*1,6*69,5*1,055=1238,505</t>
  </si>
  <si>
    <t xml:space="preserve"> 30 % от ФОТ у перед</t>
  </si>
  <si>
    <t>без переданных</t>
  </si>
  <si>
    <t>ремонт здания 1300 и кабинет мэра 800      убрала1100</t>
  </si>
  <si>
    <t xml:space="preserve"> отняла 480 на эффективность</t>
  </si>
  <si>
    <t xml:space="preserve"> отняла 204 на эффективность</t>
  </si>
  <si>
    <t xml:space="preserve"> отняла 176 на эффективность</t>
  </si>
  <si>
    <t xml:space="preserve"> отняла 168,7 на эффективность</t>
  </si>
  <si>
    <t>Судебная система</t>
  </si>
  <si>
    <t>Фонд компенсаций</t>
  </si>
  <si>
    <t>009</t>
  </si>
  <si>
    <t>795 11 03</t>
  </si>
  <si>
    <t xml:space="preserve">795 11 03 </t>
  </si>
  <si>
    <t>ПП  "Повышение эффективности бюджетных расходов УРМО на 2014-2016 гг."</t>
  </si>
  <si>
    <t xml:space="preserve">Муниципальные программы муниципальных образований </t>
  </si>
  <si>
    <t>МП  "Формирование устойчивой экономической базы"</t>
  </si>
  <si>
    <t>795 11 00</t>
  </si>
  <si>
    <t>МП "Повышение безопасности дорожного движения на территории Усольского района на 2013-2017 гг."</t>
  </si>
  <si>
    <t>ПП "Обеспечение безопасности дорожного движения"</t>
  </si>
  <si>
    <t xml:space="preserve">03 </t>
  </si>
  <si>
    <t>795 05 01</t>
  </si>
  <si>
    <t>ПП "Обеспечение безопасности школьных перевозок"</t>
  </si>
  <si>
    <t>795 05 02</t>
  </si>
  <si>
    <t>Дорожное хозяйство</t>
  </si>
  <si>
    <t>Содержание и управление дорожным хозяйством</t>
  </si>
  <si>
    <t>315 00 00</t>
  </si>
  <si>
    <t>315 01 00</t>
  </si>
  <si>
    <t>ПП "Совершенствование системы управления  муниципальным имуществом"</t>
  </si>
  <si>
    <t>795 11 04</t>
  </si>
  <si>
    <t xml:space="preserve">795 00 00 </t>
  </si>
  <si>
    <t>ОМ "Снижение уровня производственного травматизма"</t>
  </si>
  <si>
    <t>МП "Улучшение условий и охраны труда в УРМО"</t>
  </si>
  <si>
    <t>795 10 01</t>
  </si>
  <si>
    <t>ПП "Улучшение условий и охраны труда в администрации"</t>
  </si>
  <si>
    <t>795 10 02</t>
  </si>
  <si>
    <t xml:space="preserve">795 10 02 </t>
  </si>
  <si>
    <t>ПП "Улучшение условий и охраны труда в образовательных учреждениях"</t>
  </si>
  <si>
    <t>795 10 03</t>
  </si>
  <si>
    <t xml:space="preserve">795 10 03 </t>
  </si>
  <si>
    <t>ПП "Улучшение условий и охраны труда в учреждениях культуры"</t>
  </si>
  <si>
    <t xml:space="preserve">795 10 04 </t>
  </si>
  <si>
    <t>795 10 04</t>
  </si>
  <si>
    <t>795 11 01</t>
  </si>
  <si>
    <t>795 11 02</t>
  </si>
  <si>
    <t>МП "Развитие инфраструктуры и обеспечение условий жизнедеятельности населения в УРМО"</t>
  </si>
  <si>
    <t>795 04 03</t>
  </si>
  <si>
    <t>795 04 05</t>
  </si>
  <si>
    <t>795 04 01</t>
  </si>
  <si>
    <t xml:space="preserve">795 04 01 </t>
  </si>
  <si>
    <t>795 04 02</t>
  </si>
  <si>
    <t xml:space="preserve">795 04 02 </t>
  </si>
  <si>
    <t>ПП  "Защита окружающей среды в Усольском районе на 2013-2017 гг."</t>
  </si>
  <si>
    <t>795 04 04</t>
  </si>
  <si>
    <t xml:space="preserve">795 04 04 </t>
  </si>
  <si>
    <t>МП "Развитие системы образования Усольского района"</t>
  </si>
  <si>
    <t>ПП "Информатизация системы образования"</t>
  </si>
  <si>
    <t xml:space="preserve">795 01 01 </t>
  </si>
  <si>
    <t>795 01 01</t>
  </si>
  <si>
    <t>ПП "Методическое сопровождение системы образования"</t>
  </si>
  <si>
    <t>795 01 02</t>
  </si>
  <si>
    <t>ПП "Лицензирование и аккредитация образовательных учреждений"</t>
  </si>
  <si>
    <t>795 01 05</t>
  </si>
  <si>
    <t>ПП "Здоровое поколение"</t>
  </si>
  <si>
    <t>795 01 06</t>
  </si>
  <si>
    <t xml:space="preserve">795 01 06 </t>
  </si>
  <si>
    <t>ПП "Развитие дошкольного образования"</t>
  </si>
  <si>
    <t>795 01 08</t>
  </si>
  <si>
    <t xml:space="preserve">795 01 08 </t>
  </si>
  <si>
    <t>Детские дошкольные учреждения</t>
  </si>
  <si>
    <t>420 00 00</t>
  </si>
  <si>
    <t>420 99 00</t>
  </si>
  <si>
    <t>421 00 00</t>
  </si>
  <si>
    <t>421 99 00</t>
  </si>
  <si>
    <t>ПП "Обучение и воспитание одаренных детей"</t>
  </si>
  <si>
    <t>795 01 03</t>
  </si>
  <si>
    <t xml:space="preserve">903 </t>
  </si>
  <si>
    <t>ПП "Развитие инфраструктуры образовательных учреждений"</t>
  </si>
  <si>
    <t>795 01 04</t>
  </si>
  <si>
    <t>ПП "Организация круглогодичного отдыха"</t>
  </si>
  <si>
    <t>795 01 07</t>
  </si>
  <si>
    <t xml:space="preserve">795 01 07 </t>
  </si>
  <si>
    <t>МП "Безопасность населения и территории"</t>
  </si>
  <si>
    <t>795 06 01</t>
  </si>
  <si>
    <t xml:space="preserve">795 06 02 </t>
  </si>
  <si>
    <t>795 06 02</t>
  </si>
  <si>
    <t>795 12 00</t>
  </si>
  <si>
    <t>МП "Молодежная политика на 2014-2018гг."</t>
  </si>
  <si>
    <t>795 03 00</t>
  </si>
  <si>
    <t>ОМ"Комплексные меры противодействия злоупотребления наркотическими средствами и психотропными веществами и их незаконному обороту на 2014-2018 гг."</t>
  </si>
  <si>
    <t>795 03 03</t>
  </si>
  <si>
    <t>ПП "Социально - экономическая поддержка молодых специалистов в муниципальных учреждениях образования и культыры УРМО на 2014-2016 гг."</t>
  </si>
  <si>
    <t>795 03 05</t>
  </si>
  <si>
    <t>МП "Старшее поколение"</t>
  </si>
  <si>
    <t>795 09 00</t>
  </si>
  <si>
    <t>795 09 01</t>
  </si>
  <si>
    <t>ПП "Празднование Победы в Великой Отечественной войне"</t>
  </si>
  <si>
    <t>795 09 02</t>
  </si>
  <si>
    <t>795 08 00</t>
  </si>
  <si>
    <t>ПП "Доплаты к пенсиям государственных служащих субъектов Российской Федерации и муниципальных служащих"</t>
  </si>
  <si>
    <t xml:space="preserve">795 09 03 </t>
  </si>
  <si>
    <t>795 09 03</t>
  </si>
  <si>
    <t>МП  "Развитие культуры на 2014-2018гг."</t>
  </si>
  <si>
    <t>ОМ "Развитие дополнительного образования в сфере культуры"</t>
  </si>
  <si>
    <t>ПП "Реализация единой культурной политики на территории УРМО на 2014-2016гг."</t>
  </si>
  <si>
    <t>795 02 01</t>
  </si>
  <si>
    <t>795 06 03</t>
  </si>
  <si>
    <t>ПП "Обеспечение пожарной безопасности в учреждениях культуры"</t>
  </si>
  <si>
    <t>МП "Молодежная политика УРМО на 2014-2018гг."</t>
  </si>
  <si>
    <t>ОМ "Качественное развитие потенциала и воспитания молодежи на 2014-2018гг."</t>
  </si>
  <si>
    <t>795 03 01</t>
  </si>
  <si>
    <t>ОМ "Патриотическое воспитание молодежи"</t>
  </si>
  <si>
    <t>795 03 02</t>
  </si>
  <si>
    <t>ОМ "Противодействие ВИЧ/СПИД на территории УРМО"</t>
  </si>
  <si>
    <t>795 03 04</t>
  </si>
  <si>
    <t>ПП "Обеспечение жильем молодых семей на 2014-2016гг."</t>
  </si>
  <si>
    <t>795 03 06</t>
  </si>
  <si>
    <t>ОМ "Организация культурно-досуговой деятельности, поддержка народного творчества, народных промысел и ремесел"</t>
  </si>
  <si>
    <t>795 02 10</t>
  </si>
  <si>
    <t>795  02 20</t>
  </si>
  <si>
    <t>ОМ "Организация деятельности  библиотек"</t>
  </si>
  <si>
    <t>795 02 30</t>
  </si>
  <si>
    <t xml:space="preserve">"Об утверждении бюджета на 2014 год </t>
  </si>
  <si>
    <t>Плановые назначения на 2014 год</t>
  </si>
  <si>
    <t>Субсидии бюджетным учреждениям (комплектование книжных фондов)</t>
  </si>
  <si>
    <t>Дотации на выравнивание уровня бюджетной обеспеченности субъектов Российской Федерации и муниципальных образований</t>
  </si>
  <si>
    <t>510 00 00</t>
  </si>
  <si>
    <t>Государственная программа Иркутской области «Развитие образования» на 2014-2018 годы</t>
  </si>
  <si>
    <t>Подпрограмма «Дошкольное, общее и дополнительное образование» на 2014 - 2018 годы</t>
  </si>
  <si>
    <t>511 08 00</t>
  </si>
  <si>
    <t>Основное мероприятие «Оказание поддержки муниципальным образованиям Иркутской области при реализации дошкольных образовательных программ» на 2014 - 2018 годы</t>
  </si>
  <si>
    <t>511 08 02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</si>
  <si>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</si>
  <si>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511 09 00</t>
  </si>
  <si>
    <t>511 09 02</t>
  </si>
  <si>
    <t>Основное мероприятие «Оказание поддержки муниципальным образованиям Иркутской области при реализации общеобразовательных (начального общего, основного общего, среднего общего образования) программ» на 2014 - 2018 годы</t>
  </si>
  <si>
    <t>Субвенция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</si>
  <si>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530 00 00</t>
  </si>
  <si>
    <t>Государственная программа Иркутской области «Социальная поддержка населения» на 2014-2018 годы</t>
  </si>
  <si>
    <t>533 00 00</t>
  </si>
  <si>
    <t>Подпрограмма «Социальная поддержка населения Иркутской области» на 2014 - 2018 годы</t>
  </si>
  <si>
    <t>533 01 00</t>
  </si>
  <si>
    <t>Основное мероприятие «Обеспечение предоставления мер социальной поддержки и социальных услуг отдельным категориям граждан в рамках полномочий министерства социального развития, опеки и попечительства Иркутской области» на 2014 - 2018 годы</t>
  </si>
  <si>
    <t>533 01 10</t>
  </si>
  <si>
    <t>Субвенции на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</si>
  <si>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533 01 11</t>
  </si>
  <si>
    <t>Субвенции на предоставление гражданам субсидий на оплату жилых помещений и коммунальных услуг</t>
  </si>
  <si>
    <t>535 00 00</t>
  </si>
  <si>
    <t>535 05 00</t>
  </si>
  <si>
    <t>535 05 02</t>
  </si>
  <si>
    <t>Подпрограмма «Дети Приангарья» на 2014 - 2018 годы</t>
  </si>
  <si>
    <t>Основное мероприятие «Развитие системы государственной поддержки семей в связи с рождением и воспитанием детей в рамках полномочий министерства социального развития, опеки и попечительства Иркутской области » на 2014 - 2018 годы</t>
  </si>
  <si>
    <t>Субвенция на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</si>
  <si>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535 16 00</t>
  </si>
  <si>
    <t>535 16 02</t>
  </si>
  <si>
    <t>Основное мероприятие «Кадровое и информационное обеспечение семейной политики, информирование населения об услугах, предоставляемых детям и семьям с детьми в Иркутской области, в рамках полномочий министерства социального развития, опеки и попечительства Иркутской области» на 2014 - 2018 годы</t>
  </si>
  <si>
    <t>Субвенции на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</si>
  <si>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535 05 01</t>
  </si>
  <si>
    <t>550 00 00</t>
  </si>
  <si>
    <t>Государственная программа Иркутской области «Развитие культуры» на 2014-2018 годы</t>
  </si>
  <si>
    <t>551 00 00</t>
  </si>
  <si>
    <t>Подпрограмма «Оказание финансовой поддержки муниципальным образованиям Иркутской области в сфере культуры и архивного дела» на 2014 - 2018 годы</t>
  </si>
  <si>
    <t>551 03 00</t>
  </si>
  <si>
    <t>Субвенции на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</si>
  <si>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551 02 00</t>
  </si>
  <si>
    <t>Субсидии бюджетам муниципальных образований Иркутской области на развитие публичных центров правовой, деловой и социально-значимой информации центральных районных библиотек Иркутской области</t>
  </si>
  <si>
    <t>570 00 00</t>
  </si>
  <si>
    <t>Государственная программа Иркутской области «Труд и занятость» на 2014-2018 годы</t>
  </si>
  <si>
    <t>571 00 00</t>
  </si>
  <si>
    <t>Подпрограмма «Улучшение условий и охраны труда в Иркутской области» на 2014 - 2018 годы</t>
  </si>
  <si>
    <t>571 01 00</t>
  </si>
  <si>
    <t>Основное мероприятие «Улучшение условий и охраны труда в Иркутской области» на 2014 - 2018 годы</t>
  </si>
  <si>
    <t>571 01 03</t>
  </si>
  <si>
    <t>Субвенции на осуществление отдельных областных государственных полномочий в сфере труда</t>
  </si>
  <si>
    <t>600 00 00</t>
  </si>
  <si>
    <t xml:space="preserve">Государственная программа Иркутской области «Совершенствование механизмов управления экономическим развитием» на 2014-2018 годы </t>
  </si>
  <si>
    <t>601 00 00</t>
  </si>
  <si>
    <t>Подпрограмма «Государственная политика в сфере экономического развития Иркутской области» на 2014 - 2016 годы</t>
  </si>
  <si>
    <t>Основное мероприятие «Обеспечение эффективного управления экономическим развитием Иркутской области» на 2014 - 2016 годы</t>
  </si>
  <si>
    <t>601 01 00</t>
  </si>
  <si>
    <t>Субвенции на 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</si>
  <si>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601 01 04</t>
  </si>
  <si>
    <t>551 01 00</t>
  </si>
  <si>
    <t>Субсидии бюджетам муниципальных образований Иркутской области на развитие домов культуры</t>
  </si>
  <si>
    <t>640 00 00</t>
  </si>
  <si>
    <t>Государственная программа Иркутской области «Доступное жилье» на 2014-2020 годы</t>
  </si>
  <si>
    <t>64Г 00 00</t>
  </si>
  <si>
    <t>Подпрограмма «Обеспечение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родителей» на 2014 - 2018 годы</t>
  </si>
  <si>
    <t>64Г 02 00</t>
  </si>
  <si>
    <t>Основное мероприятие «Учет детей-сирот и детей, оставшихся без попечения родителей, лиц из числа детей-сирот и детей, оставшихся без попечения родителей, которые подлежат обеспечению жилыми помещениями» на 2014 - 2018 годы</t>
  </si>
  <si>
    <t>64Г 02 02</t>
  </si>
  <si>
    <t>Исполнение судебных актов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вынесенных в соответствии с Законом Иркутской области от 22.06.2010 № 50-ОЗ «О дополнительных гарантиях прав детей-сирот и детей, оставшихся без попечения родителей, на жилое помещение в Иркутской области» и Законом Иркутской области от 29.06.2010 № 52-ОЗ «О наделении органов местного самоуправления областными государственными полномочиями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социального найма в Иркутской области</t>
  </si>
  <si>
    <t>Подпрограмма «Обеспечение деятельности Губернатора Иркутской области и Правительства Иркутской области» на 2014 - 2016 годы</t>
  </si>
  <si>
    <t>605 00 00</t>
  </si>
  <si>
    <t>605 06 00</t>
  </si>
  <si>
    <t>Основное мероприятие «Осуществление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Федерации» на 2014 - 2016 годы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</si>
  <si>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</si>
  <si>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605 51 20</t>
  </si>
  <si>
    <t>900 00 00</t>
  </si>
  <si>
    <t>Непрограммные расходы</t>
  </si>
  <si>
    <t>905 00 00</t>
  </si>
  <si>
    <t>Обеспечение реализации полномочий Департамента по обеспечению деятельности мировых судей Иркутской области</t>
  </si>
  <si>
    <t>905 05 00</t>
  </si>
  <si>
    <t>Субвенции на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</si>
  <si>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Другие вопросы в области культуры, кинематографии</t>
  </si>
  <si>
    <t>8</t>
  </si>
  <si>
    <t>Плановые назначения на 2015 год</t>
  </si>
  <si>
    <t>Плановые назначения на 2016 год</t>
  </si>
  <si>
    <t>и на плановый период 2015 и 2016 годы"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</si>
  <si>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</si>
  <si>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</si>
  <si>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</si>
  <si>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065 00 00</t>
  </si>
  <si>
    <t>Процентные платежи по государственному (муниципальному) долгу субъекта Российской Федерации</t>
  </si>
  <si>
    <t>065 02 00</t>
  </si>
  <si>
    <t>Обслуживание государственного (муниципального) долга субъекта Российской Федерации</t>
  </si>
  <si>
    <t>720</t>
  </si>
  <si>
    <t>Приложение №11</t>
  </si>
  <si>
    <t>РАСПРЕДЕЛЕНИЕ БЮДЖЕТНЫХ АССИГНОВАНИЙ</t>
  </si>
  <si>
    <t>ПО РАЗДЕЛАМ, ПОДРАЗДЕЛАМ, ЦЕЛЕВЫМ СТАТЬЯМ И ВИДОВ РАСХОДОВ</t>
  </si>
  <si>
    <t>КЛАССИФИКАЦИИ РАСХОДОВ БЮДЖЕТА МР УРМО НА ПЛАНОВЫЙ ПЕРИОД 2015 И 2016 ГОДОВ</t>
  </si>
  <si>
    <t>МП "Профилактика правонарушений и общественной безопасности в Усольском районе в 2014-2016гг."</t>
  </si>
  <si>
    <t>ПП "Поддержка и развитие малого предпринимательства в УРМО "</t>
  </si>
  <si>
    <t>ПП"Проведение капитального ремонта многоквартирных жилых домов на территории Усольского района "</t>
  </si>
  <si>
    <t>ПП "Переселение граждан Усольского района из ветхого и аварийного жилищного фонда"</t>
  </si>
  <si>
    <t>ПП"Энергосбережение и повышение энергетической эффективности на территории УРМО"</t>
  </si>
  <si>
    <t>ПП "Модернизация объектов коммунальной инфраструктуры Усольского района "</t>
  </si>
  <si>
    <t>ПП "Обеспечение пожарной безопасности в образовательных учреждениях Усольского района "</t>
  </si>
  <si>
    <t>ПП"Обеспечение охраны образовательных учреждений Усольского района "</t>
  </si>
  <si>
    <t>ПП "Старшее поколение"</t>
  </si>
  <si>
    <t>МП "Профилактика безнадзорности и правонарушений несовершеннолетних в Усольском районе на 2014 -2016 гг."</t>
  </si>
  <si>
    <t>МП "Развитие физической культуры  и спорта в муниципальном районе УРМО"</t>
  </si>
  <si>
    <t>Комплектование книжных фондов библиотек муниципальных образований и государственных библитек</t>
  </si>
  <si>
    <t>440 02 00</t>
  </si>
  <si>
    <t>440 02 03</t>
  </si>
  <si>
    <t>540</t>
  </si>
  <si>
    <t>№ 92   от 24.12.2013г.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</si>
</sst>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0.0"/>
    <numFmt numFmtId="182" formatCode="0.000"/>
    <numFmt numFmtId="183" formatCode="0_ ;[Red]\-0\ "/>
    <numFmt numFmtId="184" formatCode="0.00_ ;[Red]\-0.00\ "/>
    <numFmt numFmtId="185" formatCode="#,##0.0"/>
    <numFmt numFmtId="186" formatCode="#,##0.000"/>
    <numFmt numFmtId="187" formatCode="#,##0.0000"/>
    <numFmt numFmtId="188" formatCode="#,##0.00000"/>
    <numFmt numFmtId="189" formatCode="0.0%"/>
    <numFmt numFmtId="190" formatCode="0.00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000"/>
    <numFmt numFmtId="197" formatCode="0.000000"/>
    <numFmt numFmtId="198" formatCode="_-* #,##0.0_р_._-;\-* #,##0.0_р_._-;_-* &quot;-&quot;??_р_._-;_-@_-"/>
    <numFmt numFmtId="199" formatCode="#,##0.000000"/>
    <numFmt numFmtId="200" formatCode="#,##0.0000000"/>
    <numFmt numFmtId="201" formatCode="#,##0.0_ ;[Red]\-#,##0.0\ "/>
    <numFmt numFmtId="202" formatCode="[$-FC19]d\ mmmm\ yyyy\ &quot;г.&quot;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.5"/>
      <color indexed="8"/>
      <name val="Arial Cyr"/>
      <family val="0"/>
    </font>
    <font>
      <sz val="1.35"/>
      <color indexed="8"/>
      <name val="Arial Cyr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1">
    <xf numFmtId="0" fontId="0" fillId="0" borderId="0" xfId="0" applyAlignment="1">
      <alignment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4" fontId="22" fillId="0" borderId="0" xfId="0" applyNumberFormat="1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49" fontId="23" fillId="0" borderId="0" xfId="0" applyNumberFormat="1" applyFont="1" applyFill="1" applyAlignment="1">
      <alignment vertical="center"/>
    </xf>
    <xf numFmtId="198" fontId="23" fillId="0" borderId="0" xfId="60" applyNumberFormat="1" applyFont="1" applyFill="1" applyBorder="1" applyAlignment="1">
      <alignment wrapText="1"/>
    </xf>
    <xf numFmtId="4" fontId="23" fillId="0" borderId="0" xfId="60" applyNumberFormat="1" applyFont="1" applyFill="1" applyBorder="1" applyAlignment="1">
      <alignment wrapText="1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/>
    </xf>
    <xf numFmtId="180" fontId="25" fillId="0" borderId="11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188" fontId="25" fillId="0" borderId="13" xfId="0" applyNumberFormat="1" applyFont="1" applyFill="1" applyBorder="1" applyAlignment="1">
      <alignment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/>
    </xf>
    <xf numFmtId="180" fontId="20" fillId="0" borderId="11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188" fontId="20" fillId="0" borderId="13" xfId="0" applyNumberFormat="1" applyFont="1" applyFill="1" applyBorder="1" applyAlignment="1">
      <alignment vertical="center"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 wrapText="1"/>
    </xf>
    <xf numFmtId="49" fontId="20" fillId="0" borderId="18" xfId="0" applyNumberFormat="1" applyFont="1" applyFill="1" applyBorder="1" applyAlignment="1">
      <alignment horizontal="center" vertical="center"/>
    </xf>
    <xf numFmtId="180" fontId="20" fillId="0" borderId="18" xfId="0" applyNumberFormat="1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188" fontId="20" fillId="0" borderId="20" xfId="0" applyNumberFormat="1" applyFont="1" applyFill="1" applyBorder="1" applyAlignment="1">
      <alignment vertical="center"/>
    </xf>
    <xf numFmtId="49" fontId="20" fillId="0" borderId="21" xfId="0" applyNumberFormat="1" applyFont="1" applyFill="1" applyBorder="1" applyAlignment="1">
      <alignment horizontal="center" vertical="center" wrapText="1"/>
    </xf>
    <xf numFmtId="49" fontId="20" fillId="0" borderId="22" xfId="0" applyNumberFormat="1" applyFont="1" applyFill="1" applyBorder="1" applyAlignment="1">
      <alignment horizontal="center" vertical="center"/>
    </xf>
    <xf numFmtId="188" fontId="20" fillId="0" borderId="23" xfId="0" applyNumberFormat="1" applyFont="1" applyFill="1" applyBorder="1" applyAlignment="1">
      <alignment vertical="center"/>
    </xf>
    <xf numFmtId="49" fontId="25" fillId="0" borderId="21" xfId="0" applyNumberFormat="1" applyFont="1" applyFill="1" applyBorder="1" applyAlignment="1">
      <alignment horizontal="center" vertical="center" wrapText="1"/>
    </xf>
    <xf numFmtId="49" fontId="25" fillId="0" borderId="22" xfId="0" applyNumberFormat="1" applyFont="1" applyFill="1" applyBorder="1" applyAlignment="1">
      <alignment horizontal="center" vertical="center"/>
    </xf>
    <xf numFmtId="49" fontId="25" fillId="0" borderId="24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Alignment="1">
      <alignment vertical="center"/>
    </xf>
    <xf numFmtId="49" fontId="20" fillId="0" borderId="13" xfId="0" applyNumberFormat="1" applyFont="1" applyFill="1" applyBorder="1" applyAlignment="1">
      <alignment horizontal="center" vertical="center"/>
    </xf>
    <xf numFmtId="49" fontId="20" fillId="0" borderId="25" xfId="0" applyNumberFormat="1" applyFont="1" applyFill="1" applyBorder="1" applyAlignment="1">
      <alignment horizontal="center" vertical="center" wrapText="1"/>
    </xf>
    <xf numFmtId="49" fontId="20" fillId="0" borderId="26" xfId="0" applyNumberFormat="1" applyFont="1" applyFill="1" applyBorder="1" applyAlignment="1">
      <alignment horizontal="center" vertical="center"/>
    </xf>
    <xf numFmtId="180" fontId="20" fillId="0" borderId="26" xfId="0" applyNumberFormat="1" applyFont="1" applyFill="1" applyBorder="1" applyAlignment="1">
      <alignment horizontal="center" vertical="center"/>
    </xf>
    <xf numFmtId="49" fontId="20" fillId="0" borderId="27" xfId="0" applyNumberFormat="1" applyFont="1" applyFill="1" applyBorder="1" applyAlignment="1">
      <alignment horizontal="center" vertical="center"/>
    </xf>
    <xf numFmtId="188" fontId="20" fillId="0" borderId="28" xfId="0" applyNumberFormat="1" applyFont="1" applyFill="1" applyBorder="1" applyAlignment="1">
      <alignment vertical="center"/>
    </xf>
    <xf numFmtId="49" fontId="20" fillId="0" borderId="29" xfId="0" applyNumberFormat="1" applyFont="1" applyFill="1" applyBorder="1" applyAlignment="1">
      <alignment horizontal="center" vertical="center" wrapText="1"/>
    </xf>
    <xf numFmtId="49" fontId="20" fillId="0" borderId="30" xfId="0" applyNumberFormat="1" applyFont="1" applyFill="1" applyBorder="1" applyAlignment="1">
      <alignment horizontal="center" vertical="center"/>
    </xf>
    <xf numFmtId="180" fontId="20" fillId="0" borderId="30" xfId="0" applyNumberFormat="1" applyFont="1" applyFill="1" applyBorder="1" applyAlignment="1">
      <alignment horizontal="center" vertical="center"/>
    </xf>
    <xf numFmtId="49" fontId="20" fillId="0" borderId="31" xfId="0" applyNumberFormat="1" applyFont="1" applyFill="1" applyBorder="1" applyAlignment="1">
      <alignment horizontal="center" vertical="center"/>
    </xf>
    <xf numFmtId="188" fontId="20" fillId="0" borderId="32" xfId="0" applyNumberFormat="1" applyFont="1" applyFill="1" applyBorder="1" applyAlignment="1">
      <alignment vertical="center"/>
    </xf>
    <xf numFmtId="49" fontId="21" fillId="0" borderId="30" xfId="0" applyNumberFormat="1" applyFont="1" applyFill="1" applyBorder="1" applyAlignment="1">
      <alignment horizontal="center" vertical="center"/>
    </xf>
    <xf numFmtId="180" fontId="21" fillId="0" borderId="30" xfId="0" applyNumberFormat="1" applyFont="1" applyFill="1" applyBorder="1" applyAlignment="1">
      <alignment horizontal="center" vertical="center"/>
    </xf>
    <xf numFmtId="49" fontId="21" fillId="0" borderId="31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180" fontId="21" fillId="0" borderId="15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188" fontId="21" fillId="0" borderId="32" xfId="0" applyNumberFormat="1" applyFont="1" applyFill="1" applyBorder="1" applyAlignment="1">
      <alignment vertical="center"/>
    </xf>
    <xf numFmtId="49" fontId="21" fillId="0" borderId="22" xfId="0" applyNumberFormat="1" applyFont="1" applyFill="1" applyBorder="1" applyAlignment="1">
      <alignment horizontal="center" vertical="center"/>
    </xf>
    <xf numFmtId="180" fontId="21" fillId="0" borderId="22" xfId="0" applyNumberFormat="1" applyFont="1" applyFill="1" applyBorder="1" applyAlignment="1">
      <alignment horizontal="center" vertical="center"/>
    </xf>
    <xf numFmtId="49" fontId="21" fillId="0" borderId="24" xfId="0" applyNumberFormat="1" applyFont="1" applyFill="1" applyBorder="1" applyAlignment="1">
      <alignment horizontal="center" vertical="center"/>
    </xf>
    <xf numFmtId="188" fontId="21" fillId="0" borderId="33" xfId="0" applyNumberFormat="1" applyFont="1" applyFill="1" applyBorder="1" applyAlignment="1">
      <alignment vertical="center"/>
    </xf>
    <xf numFmtId="188" fontId="20" fillId="0" borderId="34" xfId="0" applyNumberFormat="1" applyFont="1" applyFill="1" applyBorder="1" applyAlignment="1">
      <alignment vertical="center"/>
    </xf>
    <xf numFmtId="188" fontId="21" fillId="0" borderId="35" xfId="0" applyNumberFormat="1" applyFont="1" applyFill="1" applyBorder="1" applyAlignment="1">
      <alignment vertical="center"/>
    </xf>
    <xf numFmtId="49" fontId="20" fillId="0" borderId="36" xfId="0" applyNumberFormat="1" applyFont="1" applyFill="1" applyBorder="1" applyAlignment="1">
      <alignment horizontal="center" vertical="center" wrapText="1"/>
    </xf>
    <xf numFmtId="49" fontId="21" fillId="0" borderId="37" xfId="0" applyNumberFormat="1" applyFont="1" applyFill="1" applyBorder="1" applyAlignment="1">
      <alignment horizontal="center" vertical="center"/>
    </xf>
    <xf numFmtId="180" fontId="21" fillId="0" borderId="37" xfId="0" applyNumberFormat="1" applyFont="1" applyFill="1" applyBorder="1" applyAlignment="1">
      <alignment horizontal="center" vertical="center"/>
    </xf>
    <xf numFmtId="49" fontId="21" fillId="0" borderId="38" xfId="0" applyNumberFormat="1" applyFont="1" applyFill="1" applyBorder="1" applyAlignment="1">
      <alignment horizontal="center" vertical="center"/>
    </xf>
    <xf numFmtId="188" fontId="21" fillId="0" borderId="39" xfId="0" applyNumberFormat="1" applyFont="1" applyFill="1" applyBorder="1" applyAlignment="1">
      <alignment vertical="center"/>
    </xf>
    <xf numFmtId="188" fontId="20" fillId="0" borderId="35" xfId="0" applyNumberFormat="1" applyFont="1" applyFill="1" applyBorder="1" applyAlignment="1">
      <alignment vertical="center"/>
    </xf>
    <xf numFmtId="188" fontId="21" fillId="0" borderId="40" xfId="0" applyNumberFormat="1" applyFont="1" applyFill="1" applyBorder="1" applyAlignment="1">
      <alignment vertical="center"/>
    </xf>
    <xf numFmtId="49" fontId="20" fillId="0" borderId="41" xfId="0" applyNumberFormat="1" applyFont="1" applyFill="1" applyBorder="1" applyAlignment="1">
      <alignment horizontal="center" vertical="center" wrapText="1"/>
    </xf>
    <xf numFmtId="49" fontId="21" fillId="0" borderId="42" xfId="0" applyNumberFormat="1" applyFont="1" applyFill="1" applyBorder="1" applyAlignment="1">
      <alignment horizontal="center" vertical="center"/>
    </xf>
    <xf numFmtId="49" fontId="21" fillId="0" borderId="43" xfId="0" applyNumberFormat="1" applyFont="1" applyFill="1" applyBorder="1" applyAlignment="1">
      <alignment horizontal="center" vertical="center"/>
    </xf>
    <xf numFmtId="188" fontId="21" fillId="0" borderId="34" xfId="0" applyNumberFormat="1" applyFont="1" applyFill="1" applyBorder="1" applyAlignment="1">
      <alignment vertical="center"/>
    </xf>
    <xf numFmtId="49" fontId="20" fillId="0" borderId="43" xfId="0" applyNumberFormat="1" applyFont="1" applyFill="1" applyBorder="1" applyAlignment="1">
      <alignment horizontal="center" vertical="center"/>
    </xf>
    <xf numFmtId="49" fontId="21" fillId="0" borderId="30" xfId="0" applyNumberFormat="1" applyFont="1" applyFill="1" applyBorder="1" applyAlignment="1" applyProtection="1">
      <alignment horizontal="center" vertical="center" wrapText="1"/>
      <protection/>
    </xf>
    <xf numFmtId="180" fontId="21" fillId="0" borderId="42" xfId="0" applyNumberFormat="1" applyFont="1" applyFill="1" applyBorder="1" applyAlignment="1">
      <alignment horizontal="center" vertical="center"/>
    </xf>
    <xf numFmtId="188" fontId="21" fillId="0" borderId="44" xfId="0" applyNumberFormat="1" applyFont="1" applyFill="1" applyBorder="1" applyAlignment="1">
      <alignment vertical="center"/>
    </xf>
    <xf numFmtId="49" fontId="20" fillId="0" borderId="42" xfId="0" applyNumberFormat="1" applyFont="1" applyFill="1" applyBorder="1" applyAlignment="1">
      <alignment horizontal="center" vertical="center"/>
    </xf>
    <xf numFmtId="180" fontId="20" fillId="0" borderId="42" xfId="0" applyNumberFormat="1" applyFont="1" applyFill="1" applyBorder="1" applyAlignment="1">
      <alignment horizontal="center" vertical="center"/>
    </xf>
    <xf numFmtId="188" fontId="20" fillId="0" borderId="32" xfId="0" applyNumberFormat="1" applyFont="1" applyFill="1" applyBorder="1" applyAlignment="1">
      <alignment horizontal="right" vertical="center"/>
    </xf>
    <xf numFmtId="49" fontId="21" fillId="0" borderId="45" xfId="0" applyNumberFormat="1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49" fontId="20" fillId="0" borderId="46" xfId="0" applyNumberFormat="1" applyFont="1" applyFill="1" applyBorder="1" applyAlignment="1">
      <alignment horizontal="center" vertical="center" wrapText="1"/>
    </xf>
    <xf numFmtId="49" fontId="21" fillId="0" borderId="47" xfId="0" applyNumberFormat="1" applyFont="1" applyFill="1" applyBorder="1" applyAlignment="1">
      <alignment horizontal="center" vertical="center"/>
    </xf>
    <xf numFmtId="49" fontId="21" fillId="0" borderId="48" xfId="0" applyNumberFormat="1" applyFont="1" applyFill="1" applyBorder="1" applyAlignment="1">
      <alignment horizontal="center" vertical="center"/>
    </xf>
    <xf numFmtId="188" fontId="20" fillId="0" borderId="44" xfId="0" applyNumberFormat="1" applyFont="1" applyFill="1" applyBorder="1" applyAlignment="1">
      <alignment vertical="center"/>
    </xf>
    <xf numFmtId="180" fontId="21" fillId="0" borderId="47" xfId="0" applyNumberFormat="1" applyFont="1" applyFill="1" applyBorder="1" applyAlignment="1">
      <alignment horizontal="center" vertical="center"/>
    </xf>
    <xf numFmtId="188" fontId="21" fillId="0" borderId="28" xfId="0" applyNumberFormat="1" applyFont="1" applyFill="1" applyBorder="1" applyAlignment="1">
      <alignment vertical="center"/>
    </xf>
    <xf numFmtId="49" fontId="20" fillId="0" borderId="37" xfId="0" applyNumberFormat="1" applyFont="1" applyFill="1" applyBorder="1" applyAlignment="1">
      <alignment horizontal="center" vertical="center"/>
    </xf>
    <xf numFmtId="180" fontId="20" fillId="0" borderId="37" xfId="0" applyNumberFormat="1" applyFont="1" applyFill="1" applyBorder="1" applyAlignment="1">
      <alignment horizontal="center" vertical="center"/>
    </xf>
    <xf numFmtId="49" fontId="20" fillId="0" borderId="38" xfId="0" applyNumberFormat="1" applyFont="1" applyFill="1" applyBorder="1" applyAlignment="1">
      <alignment horizontal="center" vertical="center"/>
    </xf>
    <xf numFmtId="180" fontId="20" fillId="0" borderId="15" xfId="0" applyNumberFormat="1" applyFont="1" applyFill="1" applyBorder="1" applyAlignment="1">
      <alignment horizontal="center" vertical="center"/>
    </xf>
    <xf numFmtId="180" fontId="20" fillId="0" borderId="22" xfId="0" applyNumberFormat="1" applyFont="1" applyFill="1" applyBorder="1" applyAlignment="1">
      <alignment horizontal="center" vertical="center"/>
    </xf>
    <xf numFmtId="188" fontId="21" fillId="0" borderId="49" xfId="0" applyNumberFormat="1" applyFont="1" applyFill="1" applyBorder="1" applyAlignment="1">
      <alignment vertical="center"/>
    </xf>
    <xf numFmtId="188" fontId="21" fillId="0" borderId="23" xfId="0" applyNumberFormat="1" applyFont="1" applyFill="1" applyBorder="1" applyAlignment="1">
      <alignment vertical="center"/>
    </xf>
    <xf numFmtId="49" fontId="21" fillId="0" borderId="29" xfId="0" applyNumberFormat="1" applyFont="1" applyFill="1" applyBorder="1" applyAlignment="1">
      <alignment horizontal="center" vertical="center" wrapText="1"/>
    </xf>
    <xf numFmtId="188" fontId="21" fillId="0" borderId="50" xfId="0" applyNumberFormat="1" applyFont="1" applyFill="1" applyBorder="1" applyAlignment="1">
      <alignment vertical="center"/>
    </xf>
    <xf numFmtId="49" fontId="21" fillId="0" borderId="37" xfId="0" applyNumberFormat="1" applyFont="1" applyFill="1" applyBorder="1" applyAlignment="1">
      <alignment horizontal="right" vertical="center"/>
    </xf>
    <xf numFmtId="49" fontId="21" fillId="0" borderId="15" xfId="0" applyNumberFormat="1" applyFont="1" applyFill="1" applyBorder="1" applyAlignment="1">
      <alignment horizontal="right" vertical="center"/>
    </xf>
    <xf numFmtId="49" fontId="21" fillId="0" borderId="30" xfId="0" applyNumberFormat="1" applyFont="1" applyFill="1" applyBorder="1" applyAlignment="1">
      <alignment horizontal="right" vertical="center"/>
    </xf>
    <xf numFmtId="188" fontId="21" fillId="0" borderId="30" xfId="0" applyNumberFormat="1" applyFont="1" applyFill="1" applyBorder="1" applyAlignment="1">
      <alignment vertical="center"/>
    </xf>
    <xf numFmtId="49" fontId="21" fillId="0" borderId="41" xfId="0" applyNumberFormat="1" applyFont="1" applyFill="1" applyBorder="1" applyAlignment="1">
      <alignment horizontal="center" vertical="center" wrapText="1"/>
    </xf>
    <xf numFmtId="49" fontId="20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3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188" fontId="21" fillId="0" borderId="0" xfId="0" applyNumberFormat="1" applyFont="1" applyFill="1" applyBorder="1" applyAlignment="1">
      <alignment vertical="center"/>
    </xf>
    <xf numFmtId="4" fontId="20" fillId="0" borderId="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190" fontId="23" fillId="0" borderId="13" xfId="0" applyNumberFormat="1" applyFont="1" applyFill="1" applyBorder="1" applyAlignment="1">
      <alignment horizontal="center" vertical="center"/>
    </xf>
    <xf numFmtId="4" fontId="23" fillId="0" borderId="0" xfId="60" applyNumberFormat="1" applyFont="1" applyFill="1" applyBorder="1" applyAlignment="1">
      <alignment horizontal="right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/>
    </xf>
    <xf numFmtId="180" fontId="23" fillId="0" borderId="11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/>
    </xf>
    <xf numFmtId="188" fontId="23" fillId="0" borderId="13" xfId="0" applyNumberFormat="1" applyFont="1" applyFill="1" applyBorder="1" applyAlignment="1">
      <alignment vertical="center"/>
    </xf>
    <xf numFmtId="49" fontId="25" fillId="0" borderId="17" xfId="0" applyNumberFormat="1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center" vertical="center"/>
    </xf>
    <xf numFmtId="180" fontId="25" fillId="0" borderId="18" xfId="0" applyNumberFormat="1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horizontal="center" vertical="center"/>
    </xf>
    <xf numFmtId="190" fontId="23" fillId="0" borderId="51" xfId="0" applyNumberFormat="1" applyFont="1" applyFill="1" applyBorder="1" applyAlignment="1">
      <alignment horizontal="center" vertical="center"/>
    </xf>
    <xf numFmtId="49" fontId="20" fillId="0" borderId="51" xfId="0" applyNumberFormat="1" applyFont="1" applyFill="1" applyBorder="1" applyAlignment="1">
      <alignment horizontal="center" vertical="center"/>
    </xf>
    <xf numFmtId="188" fontId="23" fillId="0" borderId="51" xfId="0" applyNumberFormat="1" applyFont="1" applyFill="1" applyBorder="1" applyAlignment="1">
      <alignment vertical="center"/>
    </xf>
    <xf numFmtId="188" fontId="25" fillId="0" borderId="51" xfId="0" applyNumberFormat="1" applyFont="1" applyFill="1" applyBorder="1" applyAlignment="1">
      <alignment vertical="center"/>
    </xf>
    <xf numFmtId="188" fontId="20" fillId="0" borderId="52" xfId="0" applyNumberFormat="1" applyFont="1" applyFill="1" applyBorder="1" applyAlignment="1">
      <alignment vertical="center"/>
    </xf>
    <xf numFmtId="188" fontId="20" fillId="0" borderId="51" xfId="0" applyNumberFormat="1" applyFont="1" applyFill="1" applyBorder="1" applyAlignment="1">
      <alignment vertical="center"/>
    </xf>
    <xf numFmtId="188" fontId="20" fillId="0" borderId="35" xfId="0" applyNumberFormat="1" applyFont="1" applyFill="1" applyBorder="1" applyAlignment="1">
      <alignment horizontal="right" vertical="center"/>
    </xf>
    <xf numFmtId="188" fontId="20" fillId="0" borderId="40" xfId="0" applyNumberFormat="1" applyFont="1" applyFill="1" applyBorder="1" applyAlignment="1">
      <alignment vertical="center"/>
    </xf>
    <xf numFmtId="188" fontId="21" fillId="0" borderId="52" xfId="0" applyNumberFormat="1" applyFont="1" applyFill="1" applyBorder="1" applyAlignment="1">
      <alignment vertical="center"/>
    </xf>
    <xf numFmtId="188" fontId="21" fillId="0" borderId="45" xfId="0" applyNumberFormat="1" applyFont="1" applyFill="1" applyBorder="1" applyAlignment="1">
      <alignment vertical="center"/>
    </xf>
    <xf numFmtId="188" fontId="21" fillId="0" borderId="53" xfId="0" applyNumberFormat="1" applyFont="1" applyFill="1" applyBorder="1" applyAlignment="1">
      <alignment vertical="center"/>
    </xf>
    <xf numFmtId="188" fontId="20" fillId="0" borderId="54" xfId="0" applyNumberFormat="1" applyFont="1" applyFill="1" applyBorder="1" applyAlignment="1">
      <alignment vertical="center"/>
    </xf>
    <xf numFmtId="49" fontId="21" fillId="0" borderId="46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49" fontId="21" fillId="0" borderId="36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vertical="center"/>
    </xf>
    <xf numFmtId="49" fontId="21" fillId="0" borderId="14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right" vertical="center"/>
    </xf>
    <xf numFmtId="49" fontId="23" fillId="0" borderId="0" xfId="0" applyNumberFormat="1" applyFont="1" applyFill="1" applyBorder="1" applyAlignment="1">
      <alignment horizontal="left" vertical="center"/>
    </xf>
    <xf numFmtId="49" fontId="24" fillId="0" borderId="55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Fill="1" applyBorder="1" applyAlignment="1">
      <alignment horizontal="center" vertical="center"/>
    </xf>
    <xf numFmtId="188" fontId="20" fillId="0" borderId="45" xfId="0" applyNumberFormat="1" applyFont="1" applyFill="1" applyBorder="1" applyAlignment="1">
      <alignment vertical="center"/>
    </xf>
    <xf numFmtId="188" fontId="21" fillId="0" borderId="35" xfId="0" applyNumberFormat="1" applyFont="1" applyFill="1" applyBorder="1" applyAlignment="1">
      <alignment horizontal="right" vertical="center"/>
    </xf>
    <xf numFmtId="188" fontId="21" fillId="0" borderId="32" xfId="0" applyNumberFormat="1" applyFont="1" applyFill="1" applyBorder="1" applyAlignment="1">
      <alignment horizontal="right" vertical="center"/>
    </xf>
    <xf numFmtId="188" fontId="23" fillId="0" borderId="0" xfId="0" applyNumberFormat="1" applyFont="1" applyFill="1" applyBorder="1" applyAlignment="1">
      <alignment horizontal="right" vertical="center"/>
    </xf>
    <xf numFmtId="188" fontId="20" fillId="0" borderId="30" xfId="0" applyNumberFormat="1" applyFont="1" applyFill="1" applyBorder="1" applyAlignment="1">
      <alignment vertical="center"/>
    </xf>
    <xf numFmtId="188" fontId="23" fillId="0" borderId="53" xfId="0" applyNumberFormat="1" applyFont="1" applyFill="1" applyBorder="1" applyAlignment="1">
      <alignment vertical="center"/>
    </xf>
    <xf numFmtId="188" fontId="20" fillId="0" borderId="56" xfId="0" applyNumberFormat="1" applyFont="1" applyFill="1" applyBorder="1" applyAlignment="1">
      <alignment vertical="center"/>
    </xf>
    <xf numFmtId="188" fontId="21" fillId="0" borderId="56" xfId="0" applyNumberFormat="1" applyFont="1" applyFill="1" applyBorder="1" applyAlignment="1">
      <alignment vertical="center"/>
    </xf>
    <xf numFmtId="188" fontId="21" fillId="0" borderId="57" xfId="0" applyNumberFormat="1" applyFont="1" applyFill="1" applyBorder="1" applyAlignment="1">
      <alignment vertical="center"/>
    </xf>
    <xf numFmtId="188" fontId="21" fillId="0" borderId="58" xfId="0" applyNumberFormat="1" applyFont="1" applyFill="1" applyBorder="1" applyAlignment="1">
      <alignment vertical="center"/>
    </xf>
    <xf numFmtId="188" fontId="20" fillId="0" borderId="26" xfId="0" applyNumberFormat="1" applyFont="1" applyFill="1" applyBorder="1" applyAlignment="1">
      <alignment vertical="center"/>
    </xf>
    <xf numFmtId="188" fontId="21" fillId="0" borderId="55" xfId="0" applyNumberFormat="1" applyFont="1" applyFill="1" applyBorder="1" applyAlignment="1">
      <alignment vertical="center"/>
    </xf>
    <xf numFmtId="188" fontId="20" fillId="0" borderId="0" xfId="0" applyNumberFormat="1" applyFont="1" applyFill="1" applyBorder="1" applyAlignment="1">
      <alignment vertical="center"/>
    </xf>
    <xf numFmtId="190" fontId="23" fillId="0" borderId="59" xfId="0" applyNumberFormat="1" applyFont="1" applyFill="1" applyBorder="1" applyAlignment="1">
      <alignment horizontal="center" vertical="center"/>
    </xf>
    <xf numFmtId="49" fontId="20" fillId="0" borderId="59" xfId="0" applyNumberFormat="1" applyFont="1" applyFill="1" applyBorder="1" applyAlignment="1">
      <alignment horizontal="center" vertical="center"/>
    </xf>
    <xf numFmtId="188" fontId="23" fillId="0" borderId="59" xfId="0" applyNumberFormat="1" applyFont="1" applyFill="1" applyBorder="1" applyAlignment="1">
      <alignment vertical="center"/>
    </xf>
    <xf numFmtId="188" fontId="25" fillId="0" borderId="59" xfId="0" applyNumberFormat="1" applyFont="1" applyFill="1" applyBorder="1" applyAlignment="1">
      <alignment vertical="center"/>
    </xf>
    <xf numFmtId="188" fontId="20" fillId="0" borderId="60" xfId="0" applyNumberFormat="1" applyFont="1" applyFill="1" applyBorder="1" applyAlignment="1">
      <alignment vertical="center"/>
    </xf>
    <xf numFmtId="188" fontId="20" fillId="0" borderId="58" xfId="0" applyNumberFormat="1" applyFont="1" applyFill="1" applyBorder="1" applyAlignment="1">
      <alignment vertical="center"/>
    </xf>
    <xf numFmtId="188" fontId="21" fillId="0" borderId="58" xfId="0" applyNumberFormat="1" applyFont="1" applyFill="1" applyBorder="1" applyAlignment="1">
      <alignment horizontal="right" vertical="center"/>
    </xf>
    <xf numFmtId="188" fontId="20" fillId="0" borderId="59" xfId="0" applyNumberFormat="1" applyFont="1" applyFill="1" applyBorder="1" applyAlignment="1">
      <alignment vertical="center"/>
    </xf>
    <xf numFmtId="188" fontId="20" fillId="0" borderId="55" xfId="0" applyNumberFormat="1" applyFont="1" applyFill="1" applyBorder="1" applyAlignment="1">
      <alignment vertical="center"/>
    </xf>
    <xf numFmtId="188" fontId="21" fillId="0" borderId="61" xfId="0" applyNumberFormat="1" applyFont="1" applyFill="1" applyBorder="1" applyAlignment="1">
      <alignment vertical="center"/>
    </xf>
    <xf numFmtId="188" fontId="21" fillId="0" borderId="60" xfId="0" applyNumberFormat="1" applyFont="1" applyFill="1" applyBorder="1" applyAlignment="1">
      <alignment vertical="center"/>
    </xf>
    <xf numFmtId="188" fontId="20" fillId="0" borderId="58" xfId="0" applyNumberFormat="1" applyFont="1" applyFill="1" applyBorder="1" applyAlignment="1">
      <alignment horizontal="right" vertical="center"/>
    </xf>
    <xf numFmtId="188" fontId="21" fillId="0" borderId="62" xfId="0" applyNumberFormat="1" applyFont="1" applyFill="1" applyBorder="1" applyAlignment="1">
      <alignment vertical="center"/>
    </xf>
    <xf numFmtId="188" fontId="23" fillId="0" borderId="57" xfId="0" applyNumberFormat="1" applyFont="1" applyFill="1" applyBorder="1" applyAlignment="1">
      <alignment vertical="center"/>
    </xf>
    <xf numFmtId="188" fontId="20" fillId="0" borderId="62" xfId="0" applyNumberFormat="1" applyFont="1" applyFill="1" applyBorder="1" applyAlignment="1">
      <alignment vertical="center"/>
    </xf>
    <xf numFmtId="188" fontId="20" fillId="0" borderId="63" xfId="0" applyNumberFormat="1" applyFont="1" applyFill="1" applyBorder="1" applyAlignment="1">
      <alignment vertical="center"/>
    </xf>
    <xf numFmtId="188" fontId="20" fillId="0" borderId="64" xfId="0" applyNumberFormat="1" applyFont="1" applyFill="1" applyBorder="1" applyAlignment="1">
      <alignment vertical="center"/>
    </xf>
    <xf numFmtId="190" fontId="23" fillId="0" borderId="65" xfId="0" applyNumberFormat="1" applyFont="1" applyFill="1" applyBorder="1" applyAlignment="1">
      <alignment horizontal="center" vertical="center"/>
    </xf>
    <xf numFmtId="49" fontId="20" fillId="0" borderId="66" xfId="0" applyNumberFormat="1" applyFont="1" applyFill="1" applyBorder="1" applyAlignment="1">
      <alignment horizontal="center" vertical="center"/>
    </xf>
    <xf numFmtId="188" fontId="20" fillId="0" borderId="67" xfId="0" applyNumberFormat="1" applyFont="1" applyFill="1" applyBorder="1" applyAlignment="1">
      <alignment vertical="center"/>
    </xf>
    <xf numFmtId="188" fontId="21" fillId="0" borderId="67" xfId="0" applyNumberFormat="1" applyFont="1" applyFill="1" applyBorder="1" applyAlignment="1">
      <alignment horizontal="right" vertical="center"/>
    </xf>
    <xf numFmtId="188" fontId="21" fillId="0" borderId="67" xfId="0" applyNumberFormat="1" applyFont="1" applyFill="1" applyBorder="1" applyAlignment="1">
      <alignment vertical="center"/>
    </xf>
    <xf numFmtId="188" fontId="20" fillId="0" borderId="67" xfId="0" applyNumberFormat="1" applyFont="1" applyFill="1" applyBorder="1" applyAlignment="1">
      <alignment horizontal="right" vertical="center"/>
    </xf>
    <xf numFmtId="190" fontId="23" fillId="0" borderId="54" xfId="0" applyNumberFormat="1" applyFont="1" applyFill="1" applyBorder="1" applyAlignment="1">
      <alignment horizontal="center" vertical="center"/>
    </xf>
    <xf numFmtId="188" fontId="25" fillId="0" borderId="35" xfId="0" applyNumberFormat="1" applyFont="1" applyFill="1" applyBorder="1" applyAlignment="1">
      <alignment vertical="center"/>
    </xf>
    <xf numFmtId="190" fontId="23" fillId="0" borderId="20" xfId="0" applyNumberFormat="1" applyFont="1" applyFill="1" applyBorder="1" applyAlignment="1">
      <alignment horizontal="center" vertical="center"/>
    </xf>
    <xf numFmtId="188" fontId="21" fillId="0" borderId="68" xfId="0" applyNumberFormat="1" applyFont="1" applyFill="1" applyBorder="1" applyAlignment="1">
      <alignment vertical="center"/>
    </xf>
    <xf numFmtId="188" fontId="25" fillId="0" borderId="66" xfId="0" applyNumberFormat="1" applyFont="1" applyFill="1" applyBorder="1" applyAlignment="1">
      <alignment vertical="center"/>
    </xf>
    <xf numFmtId="188" fontId="20" fillId="0" borderId="69" xfId="0" applyNumberFormat="1" applyFont="1" applyFill="1" applyBorder="1" applyAlignment="1">
      <alignment vertical="center"/>
    </xf>
    <xf numFmtId="188" fontId="21" fillId="0" borderId="70" xfId="0" applyNumberFormat="1" applyFont="1" applyFill="1" applyBorder="1" applyAlignment="1">
      <alignment vertical="center"/>
    </xf>
    <xf numFmtId="188" fontId="21" fillId="0" borderId="68" xfId="0" applyNumberFormat="1" applyFont="1" applyFill="1" applyBorder="1" applyAlignment="1">
      <alignment horizontal="right" vertical="center"/>
    </xf>
    <xf numFmtId="188" fontId="21" fillId="0" borderId="71" xfId="0" applyNumberFormat="1" applyFont="1" applyFill="1" applyBorder="1" applyAlignment="1">
      <alignment vertical="center"/>
    </xf>
    <xf numFmtId="188" fontId="21" fillId="0" borderId="28" xfId="0" applyNumberFormat="1" applyFont="1" applyFill="1" applyBorder="1" applyAlignment="1">
      <alignment horizontal="right" vertical="center"/>
    </xf>
    <xf numFmtId="188" fontId="20" fillId="0" borderId="31" xfId="0" applyNumberFormat="1" applyFont="1" applyFill="1" applyBorder="1" applyAlignment="1">
      <alignment vertical="center"/>
    </xf>
    <xf numFmtId="188" fontId="21" fillId="0" borderId="31" xfId="0" applyNumberFormat="1" applyFont="1" applyFill="1" applyBorder="1" applyAlignment="1">
      <alignment vertical="center"/>
    </xf>
    <xf numFmtId="188" fontId="25" fillId="0" borderId="54" xfId="0" applyNumberFormat="1" applyFont="1" applyFill="1" applyBorder="1" applyAlignment="1">
      <alignment vertical="center"/>
    </xf>
    <xf numFmtId="188" fontId="25" fillId="0" borderId="63" xfId="0" applyNumberFormat="1" applyFont="1" applyFill="1" applyBorder="1" applyAlignment="1">
      <alignment vertical="center"/>
    </xf>
    <xf numFmtId="188" fontId="20" fillId="0" borderId="49" xfId="0" applyNumberFormat="1" applyFont="1" applyFill="1" applyBorder="1" applyAlignment="1">
      <alignment vertical="center"/>
    </xf>
    <xf numFmtId="188" fontId="24" fillId="0" borderId="0" xfId="0" applyNumberFormat="1" applyFont="1" applyFill="1" applyBorder="1" applyAlignment="1">
      <alignment vertical="center"/>
    </xf>
    <xf numFmtId="188" fontId="21" fillId="0" borderId="69" xfId="0" applyNumberFormat="1" applyFont="1" applyFill="1" applyBorder="1" applyAlignment="1">
      <alignment vertical="center"/>
    </xf>
    <xf numFmtId="180" fontId="25" fillId="0" borderId="22" xfId="0" applyNumberFormat="1" applyFont="1" applyFill="1" applyBorder="1" applyAlignment="1">
      <alignment horizontal="center" vertical="center"/>
    </xf>
    <xf numFmtId="188" fontId="25" fillId="0" borderId="53" xfId="0" applyNumberFormat="1" applyFont="1" applyFill="1" applyBorder="1" applyAlignment="1">
      <alignment vertical="center"/>
    </xf>
    <xf numFmtId="188" fontId="25" fillId="0" borderId="50" xfId="0" applyNumberFormat="1" applyFont="1" applyFill="1" applyBorder="1" applyAlignment="1">
      <alignment vertical="center"/>
    </xf>
    <xf numFmtId="188" fontId="25" fillId="0" borderId="57" xfId="0" applyNumberFormat="1" applyFont="1" applyFill="1" applyBorder="1" applyAlignment="1">
      <alignment vertical="center"/>
    </xf>
    <xf numFmtId="49" fontId="26" fillId="0" borderId="17" xfId="0" applyNumberFormat="1" applyFont="1" applyFill="1" applyBorder="1" applyAlignment="1">
      <alignment horizontal="center" vertical="center" wrapText="1"/>
    </xf>
    <xf numFmtId="49" fontId="26" fillId="0" borderId="18" xfId="0" applyNumberFormat="1" applyFont="1" applyFill="1" applyBorder="1" applyAlignment="1">
      <alignment horizontal="center" vertical="center"/>
    </xf>
    <xf numFmtId="49" fontId="26" fillId="0" borderId="19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188" fontId="23" fillId="0" borderId="0" xfId="0" applyNumberFormat="1" applyFont="1" applyFill="1" applyBorder="1" applyAlignment="1">
      <alignment vertical="center"/>
    </xf>
    <xf numFmtId="190" fontId="23" fillId="0" borderId="54" xfId="0" applyNumberFormat="1" applyFont="1" applyFill="1" applyBorder="1" applyAlignment="1">
      <alignment horizontal="center" vertical="center" wrapText="1"/>
    </xf>
    <xf numFmtId="188" fontId="21" fillId="0" borderId="42" xfId="0" applyNumberFormat="1" applyFont="1" applyFill="1" applyBorder="1" applyAlignment="1">
      <alignment vertical="center"/>
    </xf>
    <xf numFmtId="188" fontId="20" fillId="0" borderId="71" xfId="0" applyNumberFormat="1" applyFont="1" applyFill="1" applyBorder="1" applyAlignment="1">
      <alignment vertical="center"/>
    </xf>
    <xf numFmtId="188" fontId="21" fillId="0" borderId="72" xfId="0" applyNumberFormat="1" applyFont="1" applyFill="1" applyBorder="1" applyAlignment="1">
      <alignment vertical="center"/>
    </xf>
    <xf numFmtId="188" fontId="21" fillId="0" borderId="73" xfId="0" applyNumberFormat="1" applyFont="1" applyFill="1" applyBorder="1" applyAlignment="1">
      <alignment vertical="center"/>
    </xf>
    <xf numFmtId="188" fontId="25" fillId="0" borderId="45" xfId="0" applyNumberFormat="1" applyFont="1" applyFill="1" applyBorder="1" applyAlignment="1">
      <alignment vertical="center"/>
    </xf>
    <xf numFmtId="188" fontId="25" fillId="0" borderId="0" xfId="0" applyNumberFormat="1" applyFont="1" applyFill="1" applyBorder="1" applyAlignment="1">
      <alignment vertical="center"/>
    </xf>
    <xf numFmtId="188" fontId="25" fillId="0" borderId="58" xfId="0" applyNumberFormat="1" applyFont="1" applyFill="1" applyBorder="1" applyAlignment="1">
      <alignment vertical="center"/>
    </xf>
    <xf numFmtId="49" fontId="26" fillId="0" borderId="29" xfId="0" applyNumberFormat="1" applyFont="1" applyFill="1" applyBorder="1" applyAlignment="1">
      <alignment horizontal="center" vertical="center" wrapText="1"/>
    </xf>
    <xf numFmtId="49" fontId="26" fillId="0" borderId="30" xfId="0" applyNumberFormat="1" applyFont="1" applyFill="1" applyBorder="1" applyAlignment="1">
      <alignment horizontal="center" vertical="center"/>
    </xf>
    <xf numFmtId="49" fontId="26" fillId="0" borderId="31" xfId="0" applyNumberFormat="1" applyFont="1" applyFill="1" applyBorder="1" applyAlignment="1">
      <alignment horizontal="center" vertical="center"/>
    </xf>
    <xf numFmtId="188" fontId="26" fillId="0" borderId="35" xfId="0" applyNumberFormat="1" applyFont="1" applyFill="1" applyBorder="1" applyAlignment="1">
      <alignment vertical="center"/>
    </xf>
    <xf numFmtId="188" fontId="26" fillId="0" borderId="58" xfId="0" applyNumberFormat="1" applyFont="1" applyFill="1" applyBorder="1" applyAlignment="1">
      <alignment vertical="center"/>
    </xf>
    <xf numFmtId="49" fontId="26" fillId="0" borderId="14" xfId="0" applyNumberFormat="1" applyFont="1" applyFill="1" applyBorder="1" applyAlignment="1">
      <alignment horizontal="center" vertical="center" wrapText="1"/>
    </xf>
    <xf numFmtId="49" fontId="26" fillId="0" borderId="15" xfId="0" applyNumberFormat="1" applyFont="1" applyFill="1" applyBorder="1" applyAlignment="1">
      <alignment horizontal="center" vertical="center"/>
    </xf>
    <xf numFmtId="49" fontId="26" fillId="0" borderId="16" xfId="0" applyNumberFormat="1" applyFont="1" applyFill="1" applyBorder="1" applyAlignment="1">
      <alignment horizontal="center" vertical="center"/>
    </xf>
    <xf numFmtId="49" fontId="25" fillId="0" borderId="29" xfId="0" applyNumberFormat="1" applyFont="1" applyFill="1" applyBorder="1" applyAlignment="1">
      <alignment horizontal="center" vertical="center" wrapText="1"/>
    </xf>
    <xf numFmtId="49" fontId="25" fillId="0" borderId="30" xfId="0" applyNumberFormat="1" applyFont="1" applyFill="1" applyBorder="1" applyAlignment="1">
      <alignment horizontal="center" vertical="center"/>
    </xf>
    <xf numFmtId="49" fontId="25" fillId="0" borderId="31" xfId="0" applyNumberFormat="1" applyFont="1" applyFill="1" applyBorder="1" applyAlignment="1">
      <alignment horizontal="center" vertical="center"/>
    </xf>
    <xf numFmtId="188" fontId="20" fillId="0" borderId="68" xfId="0" applyNumberFormat="1" applyFont="1" applyFill="1" applyBorder="1" applyAlignment="1">
      <alignment vertical="center"/>
    </xf>
    <xf numFmtId="188" fontId="21" fillId="0" borderId="74" xfId="0" applyNumberFormat="1" applyFont="1" applyFill="1" applyBorder="1" applyAlignment="1">
      <alignment vertical="center"/>
    </xf>
    <xf numFmtId="188" fontId="20" fillId="0" borderId="74" xfId="0" applyNumberFormat="1" applyFont="1" applyFill="1" applyBorder="1" applyAlignment="1">
      <alignment vertical="center"/>
    </xf>
    <xf numFmtId="188" fontId="21" fillId="0" borderId="37" xfId="0" applyNumberFormat="1" applyFont="1" applyFill="1" applyBorder="1" applyAlignment="1">
      <alignment vertical="center"/>
    </xf>
    <xf numFmtId="188" fontId="21" fillId="0" borderId="75" xfId="0" applyNumberFormat="1" applyFont="1" applyFill="1" applyBorder="1" applyAlignment="1">
      <alignment vertical="center"/>
    </xf>
    <xf numFmtId="188" fontId="20" fillId="0" borderId="39" xfId="0" applyNumberFormat="1" applyFont="1" applyFill="1" applyBorder="1" applyAlignment="1">
      <alignment vertical="center"/>
    </xf>
    <xf numFmtId="188" fontId="20" fillId="0" borderId="61" xfId="0" applyNumberFormat="1" applyFont="1" applyFill="1" applyBorder="1" applyAlignment="1">
      <alignment vertical="center"/>
    </xf>
    <xf numFmtId="49" fontId="25" fillId="0" borderId="25" xfId="0" applyNumberFormat="1" applyFont="1" applyFill="1" applyBorder="1" applyAlignment="1">
      <alignment horizontal="center" vertical="center" wrapText="1"/>
    </xf>
    <xf numFmtId="49" fontId="25" fillId="0" borderId="26" xfId="0" applyNumberFormat="1" applyFont="1" applyFill="1" applyBorder="1" applyAlignment="1">
      <alignment horizontal="center" vertical="center"/>
    </xf>
    <xf numFmtId="49" fontId="25" fillId="0" borderId="27" xfId="0" applyNumberFormat="1" applyFont="1" applyFill="1" applyBorder="1" applyAlignment="1">
      <alignment horizontal="center" vertical="center"/>
    </xf>
    <xf numFmtId="188" fontId="20" fillId="0" borderId="76" xfId="0" applyNumberFormat="1" applyFont="1" applyFill="1" applyBorder="1" applyAlignment="1">
      <alignment vertical="center"/>
    </xf>
    <xf numFmtId="188" fontId="21" fillId="0" borderId="77" xfId="0" applyNumberFormat="1" applyFont="1" applyFill="1" applyBorder="1" applyAlignment="1">
      <alignment vertical="center"/>
    </xf>
    <xf numFmtId="188" fontId="21" fillId="0" borderId="76" xfId="0" applyNumberFormat="1" applyFont="1" applyFill="1" applyBorder="1" applyAlignment="1">
      <alignment vertical="center"/>
    </xf>
    <xf numFmtId="188" fontId="20" fillId="0" borderId="78" xfId="0" applyNumberFormat="1" applyFont="1" applyFill="1" applyBorder="1" applyAlignment="1">
      <alignment vertical="center"/>
    </xf>
    <xf numFmtId="188" fontId="21" fillId="0" borderId="79" xfId="0" applyNumberFormat="1" applyFont="1" applyFill="1" applyBorder="1" applyAlignment="1">
      <alignment vertical="center"/>
    </xf>
    <xf numFmtId="188" fontId="23" fillId="0" borderId="0" xfId="0" applyNumberFormat="1" applyFont="1" applyFill="1" applyAlignment="1">
      <alignment vertical="center"/>
    </xf>
    <xf numFmtId="188" fontId="22" fillId="0" borderId="0" xfId="0" applyNumberFormat="1" applyFont="1" applyFill="1" applyBorder="1" applyAlignment="1">
      <alignment vertical="center"/>
    </xf>
    <xf numFmtId="188" fontId="22" fillId="0" borderId="45" xfId="0" applyNumberFormat="1" applyFont="1" applyFill="1" applyBorder="1" applyAlignment="1">
      <alignment vertical="center"/>
    </xf>
    <xf numFmtId="188" fontId="20" fillId="0" borderId="27" xfId="0" applyNumberFormat="1" applyFont="1" applyFill="1" applyBorder="1" applyAlignment="1">
      <alignment vertical="center"/>
    </xf>
    <xf numFmtId="49" fontId="25" fillId="0" borderId="41" xfId="0" applyNumberFormat="1" applyFont="1" applyFill="1" applyBorder="1" applyAlignment="1">
      <alignment horizontal="center" vertical="center" wrapText="1"/>
    </xf>
    <xf numFmtId="49" fontId="25" fillId="0" borderId="42" xfId="0" applyNumberFormat="1" applyFont="1" applyFill="1" applyBorder="1" applyAlignment="1">
      <alignment horizontal="center" vertical="center"/>
    </xf>
    <xf numFmtId="49" fontId="25" fillId="0" borderId="43" xfId="0" applyNumberFormat="1" applyFont="1" applyFill="1" applyBorder="1" applyAlignment="1">
      <alignment horizontal="center" vertical="center"/>
    </xf>
    <xf numFmtId="188" fontId="25" fillId="0" borderId="34" xfId="0" applyNumberFormat="1" applyFont="1" applyFill="1" applyBorder="1" applyAlignment="1">
      <alignment vertical="center"/>
    </xf>
    <xf numFmtId="188" fontId="25" fillId="0" borderId="55" xfId="0" applyNumberFormat="1" applyFont="1" applyFill="1" applyBorder="1" applyAlignment="1">
      <alignment vertical="center"/>
    </xf>
    <xf numFmtId="188" fontId="25" fillId="0" borderId="52" xfId="0" applyNumberFormat="1" applyFont="1" applyFill="1" applyBorder="1" applyAlignment="1">
      <alignment vertical="center"/>
    </xf>
    <xf numFmtId="188" fontId="25" fillId="0" borderId="28" xfId="0" applyNumberFormat="1" applyFont="1" applyFill="1" applyBorder="1" applyAlignment="1">
      <alignment vertical="center"/>
    </xf>
    <xf numFmtId="188" fontId="25" fillId="0" borderId="60" xfId="0" applyNumberFormat="1" applyFont="1" applyFill="1" applyBorder="1" applyAlignment="1">
      <alignment vertical="center"/>
    </xf>
    <xf numFmtId="0" fontId="23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vertical="center" wrapText="1"/>
    </xf>
    <xf numFmtId="49" fontId="25" fillId="0" borderId="13" xfId="0" applyNumberFormat="1" applyFont="1" applyFill="1" applyBorder="1" applyAlignment="1">
      <alignment vertical="center" wrapText="1"/>
    </xf>
    <xf numFmtId="49" fontId="20" fillId="0" borderId="28" xfId="0" applyNumberFormat="1" applyFont="1" applyFill="1" applyBorder="1" applyAlignment="1">
      <alignment vertical="center" wrapText="1"/>
    </xf>
    <xf numFmtId="49" fontId="20" fillId="0" borderId="32" xfId="0" applyNumberFormat="1" applyFont="1" applyFill="1" applyBorder="1" applyAlignment="1">
      <alignment vertical="center" wrapText="1"/>
    </xf>
    <xf numFmtId="49" fontId="21" fillId="0" borderId="49" xfId="0" applyNumberFormat="1" applyFont="1" applyFill="1" applyBorder="1" applyAlignment="1">
      <alignment vertical="center" wrapText="1"/>
    </xf>
    <xf numFmtId="49" fontId="20" fillId="0" borderId="49" xfId="0" applyNumberFormat="1" applyFont="1" applyFill="1" applyBorder="1" applyAlignment="1">
      <alignment vertical="center" wrapText="1"/>
    </xf>
    <xf numFmtId="49" fontId="20" fillId="0" borderId="50" xfId="0" applyNumberFormat="1" applyFont="1" applyFill="1" applyBorder="1" applyAlignment="1">
      <alignment vertical="center" wrapText="1"/>
    </xf>
    <xf numFmtId="49" fontId="20" fillId="0" borderId="13" xfId="0" applyNumberFormat="1" applyFont="1" applyFill="1" applyBorder="1" applyAlignment="1">
      <alignment vertical="center" wrapText="1"/>
    </xf>
    <xf numFmtId="49" fontId="20" fillId="0" borderId="23" xfId="0" applyNumberFormat="1" applyFont="1" applyFill="1" applyBorder="1" applyAlignment="1">
      <alignment vertical="center" wrapText="1"/>
    </xf>
    <xf numFmtId="49" fontId="21" fillId="0" borderId="23" xfId="0" applyNumberFormat="1" applyFont="1" applyFill="1" applyBorder="1" applyAlignment="1">
      <alignment vertical="center" wrapText="1"/>
    </xf>
    <xf numFmtId="49" fontId="21" fillId="0" borderId="32" xfId="0" applyNumberFormat="1" applyFont="1" applyFill="1" applyBorder="1" applyAlignment="1">
      <alignment vertical="center" wrapText="1"/>
    </xf>
    <xf numFmtId="49" fontId="21" fillId="0" borderId="33" xfId="0" applyNumberFormat="1" applyFont="1" applyFill="1" applyBorder="1" applyAlignment="1">
      <alignment vertical="center" wrapText="1"/>
    </xf>
    <xf numFmtId="49" fontId="25" fillId="0" borderId="20" xfId="0" applyNumberFormat="1" applyFont="1" applyFill="1" applyBorder="1" applyAlignment="1">
      <alignment vertical="center" wrapText="1"/>
    </xf>
    <xf numFmtId="49" fontId="25" fillId="0" borderId="50" xfId="0" applyNumberFormat="1" applyFont="1" applyFill="1" applyBorder="1" applyAlignment="1">
      <alignment vertical="center" wrapText="1"/>
    </xf>
    <xf numFmtId="49" fontId="20" fillId="0" borderId="44" xfId="0" applyNumberFormat="1" applyFont="1" applyFill="1" applyBorder="1" applyAlignment="1">
      <alignment vertical="center" wrapText="1"/>
    </xf>
    <xf numFmtId="49" fontId="20" fillId="0" borderId="33" xfId="0" applyNumberFormat="1" applyFont="1" applyFill="1" applyBorder="1" applyAlignment="1">
      <alignment vertical="center" wrapText="1"/>
    </xf>
    <xf numFmtId="0" fontId="20" fillId="0" borderId="23" xfId="0" applyFont="1" applyFill="1" applyBorder="1" applyAlignment="1" applyProtection="1">
      <alignment horizontal="left" vertical="center" wrapText="1"/>
      <protection/>
    </xf>
    <xf numFmtId="0" fontId="21" fillId="0" borderId="32" xfId="0" applyFont="1" applyFill="1" applyBorder="1" applyAlignment="1">
      <alignment horizontal="left" vertical="center" wrapText="1"/>
    </xf>
    <xf numFmtId="0" fontId="21" fillId="0" borderId="44" xfId="0" applyFont="1" applyFill="1" applyBorder="1" applyAlignment="1">
      <alignment horizontal="left" vertical="center" wrapText="1"/>
    </xf>
    <xf numFmtId="0" fontId="20" fillId="0" borderId="32" xfId="0" applyFont="1" applyFill="1" applyBorder="1" applyAlignment="1">
      <alignment horizontal="left" vertical="center" wrapText="1"/>
    </xf>
    <xf numFmtId="0" fontId="20" fillId="0" borderId="23" xfId="0" applyFont="1" applyFill="1" applyBorder="1" applyAlignment="1">
      <alignment vertical="center" wrapText="1"/>
    </xf>
    <xf numFmtId="0" fontId="20" fillId="0" borderId="32" xfId="0" applyFont="1" applyFill="1" applyBorder="1" applyAlignment="1">
      <alignment vertical="center" wrapText="1"/>
    </xf>
    <xf numFmtId="0" fontId="20" fillId="0" borderId="44" xfId="0" applyFont="1" applyFill="1" applyBorder="1" applyAlignment="1">
      <alignment horizontal="left" vertical="center" wrapText="1"/>
    </xf>
    <xf numFmtId="0" fontId="25" fillId="0" borderId="49" xfId="0" applyFont="1" applyFill="1" applyBorder="1" applyAlignment="1">
      <alignment horizontal="left" vertical="center" wrapText="1"/>
    </xf>
    <xf numFmtId="49" fontId="20" fillId="0" borderId="20" xfId="0" applyNumberFormat="1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0" fontId="20" fillId="0" borderId="32" xfId="0" applyFont="1" applyFill="1" applyBorder="1" applyAlignment="1" applyProtection="1">
      <alignment horizontal="left" vertical="center" wrapText="1"/>
      <protection/>
    </xf>
    <xf numFmtId="0" fontId="21" fillId="0" borderId="32" xfId="0" applyFont="1" applyFill="1" applyBorder="1" applyAlignment="1" applyProtection="1">
      <alignment horizontal="left" vertical="center" wrapText="1"/>
      <protection locked="0"/>
    </xf>
    <xf numFmtId="0" fontId="20" fillId="0" borderId="28" xfId="0" applyFont="1" applyFill="1" applyBorder="1" applyAlignment="1" applyProtection="1">
      <alignment horizontal="left" vertical="center" wrapText="1"/>
      <protection/>
    </xf>
    <xf numFmtId="0" fontId="21" fillId="0" borderId="23" xfId="0" applyFont="1" applyFill="1" applyBorder="1" applyAlignment="1" applyProtection="1">
      <alignment horizontal="left" vertical="center" wrapText="1"/>
      <protection/>
    </xf>
    <xf numFmtId="0" fontId="20" fillId="0" borderId="32" xfId="0" applyFont="1" applyFill="1" applyBorder="1" applyAlignment="1" applyProtection="1">
      <alignment horizontal="left" vertical="center" wrapText="1"/>
      <protection locked="0"/>
    </xf>
    <xf numFmtId="0" fontId="21" fillId="0" borderId="32" xfId="0" applyFont="1" applyFill="1" applyBorder="1" applyAlignment="1">
      <alignment vertical="center" wrapText="1"/>
    </xf>
    <xf numFmtId="0" fontId="21" fillId="0" borderId="32" xfId="0" applyFont="1" applyFill="1" applyBorder="1" applyAlignment="1" applyProtection="1">
      <alignment horizontal="left" vertical="center" wrapText="1"/>
      <protection/>
    </xf>
    <xf numFmtId="0" fontId="21" fillId="0" borderId="32" xfId="0" applyFont="1" applyFill="1" applyBorder="1" applyAlignment="1">
      <alignment vertical="center"/>
    </xf>
    <xf numFmtId="0" fontId="21" fillId="0" borderId="44" xfId="0" applyFont="1" applyFill="1" applyBorder="1" applyAlignment="1" applyProtection="1">
      <alignment horizontal="left" vertical="center" wrapText="1"/>
      <protection/>
    </xf>
    <xf numFmtId="0" fontId="21" fillId="0" borderId="49" xfId="0" applyFont="1" applyFill="1" applyBorder="1" applyAlignment="1" applyProtection="1">
      <alignment horizontal="left" vertical="center" wrapText="1"/>
      <protection/>
    </xf>
    <xf numFmtId="0" fontId="20" fillId="0" borderId="33" xfId="0" applyFont="1" applyFill="1" applyBorder="1" applyAlignment="1" applyProtection="1">
      <alignment horizontal="left" vertical="center" wrapText="1"/>
      <protection/>
    </xf>
    <xf numFmtId="0" fontId="20" fillId="0" borderId="49" xfId="0" applyFont="1" applyFill="1" applyBorder="1" applyAlignment="1" applyProtection="1">
      <alignment horizontal="left" vertical="center" wrapText="1"/>
      <protection/>
    </xf>
    <xf numFmtId="0" fontId="20" fillId="0" borderId="28" xfId="0" applyFont="1" applyFill="1" applyBorder="1" applyAlignment="1" applyProtection="1">
      <alignment horizontal="left" wrapText="1"/>
      <protection/>
    </xf>
    <xf numFmtId="201" fontId="20" fillId="0" borderId="28" xfId="0" applyNumberFormat="1" applyFont="1" applyFill="1" applyBorder="1" applyAlignment="1">
      <alignment horizontal="left" vertical="center" wrapText="1"/>
    </xf>
    <xf numFmtId="0" fontId="20" fillId="0" borderId="44" xfId="0" applyFont="1" applyFill="1" applyBorder="1" applyAlignment="1" applyProtection="1">
      <alignment horizontal="left" vertical="center" wrapText="1"/>
      <protection/>
    </xf>
    <xf numFmtId="0" fontId="21" fillId="0" borderId="33" xfId="0" applyFont="1" applyFill="1" applyBorder="1" applyAlignment="1" applyProtection="1">
      <alignment horizontal="left" vertical="center" wrapText="1"/>
      <protection/>
    </xf>
    <xf numFmtId="0" fontId="20" fillId="0" borderId="49" xfId="0" applyFont="1" applyFill="1" applyBorder="1" applyAlignment="1">
      <alignment vertical="center" wrapText="1"/>
    </xf>
    <xf numFmtId="0" fontId="20" fillId="0" borderId="50" xfId="0" applyFont="1" applyFill="1" applyBorder="1" applyAlignment="1" applyProtection="1">
      <alignment horizontal="left" vertical="center" wrapText="1"/>
      <protection/>
    </xf>
    <xf numFmtId="0" fontId="20" fillId="0" borderId="23" xfId="0" applyFont="1" applyFill="1" applyBorder="1" applyAlignment="1" applyProtection="1">
      <alignment vertical="center" wrapText="1"/>
      <protection/>
    </xf>
    <xf numFmtId="0" fontId="20" fillId="0" borderId="44" xfId="0" applyFont="1" applyFill="1" applyBorder="1" applyAlignment="1">
      <alignment vertical="center" wrapText="1"/>
    </xf>
    <xf numFmtId="0" fontId="20" fillId="0" borderId="50" xfId="0" applyFont="1" applyFill="1" applyBorder="1" applyAlignment="1">
      <alignment vertical="center" wrapText="1"/>
    </xf>
    <xf numFmtId="49" fontId="25" fillId="0" borderId="23" xfId="0" applyNumberFormat="1" applyFont="1" applyFill="1" applyBorder="1" applyAlignment="1">
      <alignment vertical="center" wrapText="1"/>
    </xf>
    <xf numFmtId="49" fontId="25" fillId="0" borderId="28" xfId="0" applyNumberFormat="1" applyFont="1" applyFill="1" applyBorder="1" applyAlignment="1">
      <alignment vertical="center" wrapText="1"/>
    </xf>
    <xf numFmtId="49" fontId="25" fillId="0" borderId="49" xfId="0" applyNumberFormat="1" applyFont="1" applyFill="1" applyBorder="1" applyAlignment="1">
      <alignment vertical="center" wrapText="1"/>
    </xf>
    <xf numFmtId="49" fontId="21" fillId="0" borderId="44" xfId="0" applyNumberFormat="1" applyFont="1" applyFill="1" applyBorder="1" applyAlignment="1">
      <alignment vertical="center" wrapText="1"/>
    </xf>
    <xf numFmtId="0" fontId="20" fillId="0" borderId="50" xfId="0" applyFont="1" applyFill="1" applyBorder="1" applyAlignment="1">
      <alignment horizontal="left" vertical="center" wrapText="1"/>
    </xf>
    <xf numFmtId="49" fontId="20" fillId="0" borderId="32" xfId="0" applyNumberFormat="1" applyFont="1" applyFill="1" applyBorder="1" applyAlignment="1">
      <alignment horizontal="left" vertical="center" wrapText="1"/>
    </xf>
    <xf numFmtId="49" fontId="20" fillId="0" borderId="44" xfId="0" applyNumberFormat="1" applyFont="1" applyFill="1" applyBorder="1" applyAlignment="1">
      <alignment horizontal="left" vertical="center" wrapText="1"/>
    </xf>
    <xf numFmtId="49" fontId="23" fillId="0" borderId="28" xfId="0" applyNumberFormat="1" applyFont="1" applyFill="1" applyBorder="1" applyAlignment="1">
      <alignment vertical="center" wrapText="1"/>
    </xf>
    <xf numFmtId="188" fontId="20" fillId="0" borderId="66" xfId="0" applyNumberFormat="1" applyFont="1" applyFill="1" applyBorder="1" applyAlignment="1">
      <alignment vertical="center"/>
    </xf>
    <xf numFmtId="188" fontId="21" fillId="0" borderId="48" xfId="0" applyNumberFormat="1" applyFont="1" applyFill="1" applyBorder="1" applyAlignment="1">
      <alignment vertical="center"/>
    </xf>
    <xf numFmtId="188" fontId="20" fillId="0" borderId="12" xfId="0" applyNumberFormat="1" applyFont="1" applyFill="1" applyBorder="1" applyAlignment="1">
      <alignment vertical="center"/>
    </xf>
    <xf numFmtId="188" fontId="20" fillId="0" borderId="43" xfId="0" applyNumberFormat="1" applyFont="1" applyFill="1" applyBorder="1" applyAlignment="1">
      <alignment vertical="center"/>
    </xf>
    <xf numFmtId="188" fontId="21" fillId="0" borderId="43" xfId="0" applyNumberFormat="1" applyFont="1" applyFill="1" applyBorder="1" applyAlignment="1">
      <alignment vertical="center"/>
    </xf>
    <xf numFmtId="190" fontId="23" fillId="0" borderId="65" xfId="0" applyNumberFormat="1" applyFont="1" applyFill="1" applyBorder="1" applyAlignment="1">
      <alignment horizontal="center" vertical="center" wrapText="1"/>
    </xf>
    <xf numFmtId="190" fontId="23" fillId="0" borderId="19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right" vertical="center" wrapText="1"/>
    </xf>
    <xf numFmtId="0" fontId="20" fillId="0" borderId="23" xfId="0" applyNumberFormat="1" applyFont="1" applyFill="1" applyBorder="1" applyAlignment="1">
      <alignment vertical="center" wrapText="1"/>
    </xf>
    <xf numFmtId="188" fontId="20" fillId="0" borderId="80" xfId="0" applyNumberFormat="1" applyFont="1" applyFill="1" applyBorder="1" applyAlignment="1">
      <alignment vertical="center"/>
    </xf>
    <xf numFmtId="188" fontId="20" fillId="0" borderId="11" xfId="0" applyNumberFormat="1" applyFont="1" applyFill="1" applyBorder="1" applyAlignment="1">
      <alignment vertical="center"/>
    </xf>
    <xf numFmtId="188" fontId="20" fillId="0" borderId="77" xfId="0" applyNumberFormat="1" applyFont="1" applyFill="1" applyBorder="1" applyAlignment="1">
      <alignment vertical="center"/>
    </xf>
    <xf numFmtId="188" fontId="20" fillId="0" borderId="42" xfId="0" applyNumberFormat="1" applyFont="1" applyFill="1" applyBorder="1" applyAlignment="1">
      <alignment vertical="center"/>
    </xf>
    <xf numFmtId="188" fontId="21" fillId="0" borderId="81" xfId="0" applyNumberFormat="1" applyFont="1" applyFill="1" applyBorder="1" applyAlignment="1">
      <alignment vertical="center"/>
    </xf>
    <xf numFmtId="188" fontId="21" fillId="0" borderId="47" xfId="0" applyNumberFormat="1" applyFont="1" applyFill="1" applyBorder="1" applyAlignment="1">
      <alignment vertical="center"/>
    </xf>
    <xf numFmtId="0" fontId="20" fillId="0" borderId="28" xfId="0" applyFont="1" applyFill="1" applyBorder="1" applyAlignment="1">
      <alignment horizontal="left" vertical="center" wrapText="1"/>
    </xf>
    <xf numFmtId="0" fontId="20" fillId="0" borderId="23" xfId="0" applyFont="1" applyFill="1" applyBorder="1" applyAlignment="1">
      <alignment horizontal="left" vertical="center" wrapText="1"/>
    </xf>
    <xf numFmtId="49" fontId="21" fillId="0" borderId="26" xfId="0" applyNumberFormat="1" applyFont="1" applyFill="1" applyBorder="1" applyAlignment="1">
      <alignment horizontal="center" vertical="center"/>
    </xf>
    <xf numFmtId="180" fontId="21" fillId="0" borderId="26" xfId="0" applyNumberFormat="1" applyFont="1" applyFill="1" applyBorder="1" applyAlignment="1">
      <alignment horizontal="center" vertical="center"/>
    </xf>
    <xf numFmtId="49" fontId="21" fillId="0" borderId="27" xfId="0" applyNumberFormat="1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left" vertical="center" wrapText="1"/>
    </xf>
    <xf numFmtId="49" fontId="20" fillId="0" borderId="24" xfId="0" applyNumberFormat="1" applyFont="1" applyFill="1" applyBorder="1" applyAlignment="1">
      <alignment horizontal="center" vertical="center"/>
    </xf>
    <xf numFmtId="0" fontId="20" fillId="0" borderId="32" xfId="0" applyNumberFormat="1" applyFont="1" applyFill="1" applyBorder="1" applyAlignment="1">
      <alignment horizontal="left" vertical="center" wrapText="1"/>
    </xf>
    <xf numFmtId="0" fontId="20" fillId="0" borderId="13" xfId="0" applyFont="1" applyFill="1" applyBorder="1" applyAlignment="1" applyProtection="1">
      <alignment vertical="center" wrapText="1"/>
      <protection/>
    </xf>
    <xf numFmtId="0" fontId="20" fillId="0" borderId="20" xfId="0" applyFont="1" applyFill="1" applyBorder="1" applyAlignment="1" applyProtection="1">
      <alignment vertical="center" wrapText="1"/>
      <protection/>
    </xf>
    <xf numFmtId="0" fontId="20" fillId="0" borderId="32" xfId="0" applyFont="1" applyFill="1" applyBorder="1" applyAlignment="1" applyProtection="1">
      <alignment vertical="center" wrapText="1"/>
      <protection/>
    </xf>
    <xf numFmtId="0" fontId="20" fillId="0" borderId="32" xfId="0" applyNumberFormat="1" applyFont="1" applyFill="1" applyBorder="1" applyAlignment="1">
      <alignment vertical="center" wrapText="1"/>
    </xf>
    <xf numFmtId="0" fontId="20" fillId="0" borderId="30" xfId="0" applyFont="1" applyFill="1" applyBorder="1" applyAlignment="1">
      <alignment horizontal="center" vertical="center" wrapText="1"/>
    </xf>
    <xf numFmtId="3" fontId="21" fillId="0" borderId="30" xfId="0" applyNumberFormat="1" applyFont="1" applyFill="1" applyBorder="1" applyAlignment="1">
      <alignment horizontal="center" vertical="center" wrapText="1"/>
    </xf>
    <xf numFmtId="188" fontId="21" fillId="0" borderId="54" xfId="0" applyNumberFormat="1" applyFont="1" applyFill="1" applyBorder="1" applyAlignment="1">
      <alignment vertical="center"/>
    </xf>
    <xf numFmtId="188" fontId="21" fillId="0" borderId="63" xfId="0" applyNumberFormat="1" applyFont="1" applyFill="1" applyBorder="1" applyAlignment="1">
      <alignment vertical="center"/>
    </xf>
    <xf numFmtId="49" fontId="21" fillId="0" borderId="21" xfId="0" applyNumberFormat="1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5" fillId="0" borderId="50" xfId="0" applyFont="1" applyFill="1" applyBorder="1" applyAlignment="1" applyProtection="1">
      <alignment horizontal="left" vertical="center" wrapText="1"/>
      <protection/>
    </xf>
    <xf numFmtId="0" fontId="20" fillId="0" borderId="22" xfId="0" applyFont="1" applyFill="1" applyBorder="1" applyAlignment="1">
      <alignment horizontal="center" vertical="center" wrapText="1"/>
    </xf>
    <xf numFmtId="49" fontId="23" fillId="0" borderId="66" xfId="0" applyNumberFormat="1" applyFont="1" applyFill="1" applyBorder="1" applyAlignment="1">
      <alignment vertical="center" wrapText="1"/>
    </xf>
    <xf numFmtId="49" fontId="20" fillId="0" borderId="66" xfId="0" applyNumberFormat="1" applyFont="1" applyFill="1" applyBorder="1" applyAlignment="1">
      <alignment vertical="center" wrapText="1"/>
    </xf>
    <xf numFmtId="49" fontId="20" fillId="0" borderId="69" xfId="0" applyNumberFormat="1" applyFont="1" applyFill="1" applyBorder="1" applyAlignment="1">
      <alignment vertical="center" wrapText="1"/>
    </xf>
    <xf numFmtId="49" fontId="20" fillId="0" borderId="71" xfId="0" applyNumberFormat="1" applyFont="1" applyFill="1" applyBorder="1" applyAlignment="1">
      <alignment vertical="center" wrapText="1"/>
    </xf>
    <xf numFmtId="0" fontId="20" fillId="0" borderId="67" xfId="0" applyFont="1" applyFill="1" applyBorder="1" applyAlignment="1">
      <alignment horizontal="left" vertical="center" wrapText="1"/>
    </xf>
    <xf numFmtId="4" fontId="23" fillId="0" borderId="66" xfId="0" applyNumberFormat="1" applyFont="1" applyFill="1" applyBorder="1" applyAlignment="1">
      <alignment vertical="center"/>
    </xf>
    <xf numFmtId="4" fontId="23" fillId="0" borderId="12" xfId="0" applyNumberFormat="1" applyFont="1" applyFill="1" applyBorder="1" applyAlignment="1">
      <alignment vertical="center"/>
    </xf>
    <xf numFmtId="4" fontId="25" fillId="0" borderId="66" xfId="0" applyNumberFormat="1" applyFont="1" applyFill="1" applyBorder="1" applyAlignment="1">
      <alignment vertical="center"/>
    </xf>
    <xf numFmtId="4" fontId="25" fillId="0" borderId="12" xfId="0" applyNumberFormat="1" applyFont="1" applyFill="1" applyBorder="1" applyAlignment="1">
      <alignment vertical="center"/>
    </xf>
    <xf numFmtId="4" fontId="20" fillId="0" borderId="69" xfId="0" applyNumberFormat="1" applyFont="1" applyFill="1" applyBorder="1" applyAlignment="1">
      <alignment vertical="center"/>
    </xf>
    <xf numFmtId="4" fontId="20" fillId="0" borderId="27" xfId="0" applyNumberFormat="1" applyFont="1" applyFill="1" applyBorder="1" applyAlignment="1">
      <alignment vertical="center"/>
    </xf>
    <xf numFmtId="4" fontId="20" fillId="0" borderId="67" xfId="0" applyNumberFormat="1" applyFont="1" applyFill="1" applyBorder="1" applyAlignment="1">
      <alignment vertical="center"/>
    </xf>
    <xf numFmtId="4" fontId="20" fillId="0" borderId="31" xfId="0" applyNumberFormat="1" applyFont="1" applyFill="1" applyBorder="1" applyAlignment="1">
      <alignment vertical="center"/>
    </xf>
    <xf numFmtId="4" fontId="21" fillId="0" borderId="67" xfId="0" applyNumberFormat="1" applyFont="1" applyFill="1" applyBorder="1" applyAlignment="1">
      <alignment horizontal="right" vertical="center"/>
    </xf>
    <xf numFmtId="4" fontId="21" fillId="0" borderId="31" xfId="0" applyNumberFormat="1" applyFont="1" applyFill="1" applyBorder="1" applyAlignment="1">
      <alignment horizontal="right" vertical="center"/>
    </xf>
    <xf numFmtId="4" fontId="21" fillId="0" borderId="67" xfId="0" applyNumberFormat="1" applyFont="1" applyFill="1" applyBorder="1" applyAlignment="1">
      <alignment vertical="center"/>
    </xf>
    <xf numFmtId="4" fontId="21" fillId="0" borderId="31" xfId="0" applyNumberFormat="1" applyFont="1" applyFill="1" applyBorder="1" applyAlignment="1">
      <alignment vertical="center"/>
    </xf>
    <xf numFmtId="4" fontId="21" fillId="0" borderId="70" xfId="0" applyNumberFormat="1" applyFont="1" applyFill="1" applyBorder="1" applyAlignment="1">
      <alignment vertical="center"/>
    </xf>
    <xf numFmtId="4" fontId="21" fillId="0" borderId="48" xfId="0" applyNumberFormat="1" applyFont="1" applyFill="1" applyBorder="1" applyAlignment="1">
      <alignment vertical="center"/>
    </xf>
    <xf numFmtId="4" fontId="20" fillId="0" borderId="66" xfId="0" applyNumberFormat="1" applyFont="1" applyFill="1" applyBorder="1" applyAlignment="1">
      <alignment vertical="center"/>
    </xf>
    <xf numFmtId="4" fontId="20" fillId="0" borderId="12" xfId="0" applyNumberFormat="1" applyFont="1" applyFill="1" applyBorder="1" applyAlignment="1">
      <alignment vertical="center"/>
    </xf>
    <xf numFmtId="4" fontId="20" fillId="0" borderId="71" xfId="0" applyNumberFormat="1" applyFont="1" applyFill="1" applyBorder="1" applyAlignment="1">
      <alignment vertical="center"/>
    </xf>
    <xf numFmtId="4" fontId="20" fillId="0" borderId="43" xfId="0" applyNumberFormat="1" applyFont="1" applyFill="1" applyBorder="1" applyAlignment="1">
      <alignment vertical="center"/>
    </xf>
    <xf numFmtId="4" fontId="21" fillId="0" borderId="71" xfId="0" applyNumberFormat="1" applyFont="1" applyFill="1" applyBorder="1" applyAlignment="1">
      <alignment vertical="center"/>
    </xf>
    <xf numFmtId="4" fontId="21" fillId="0" borderId="43" xfId="0" applyNumberFormat="1" applyFont="1" applyFill="1" applyBorder="1" applyAlignment="1">
      <alignment vertical="center"/>
    </xf>
    <xf numFmtId="4" fontId="22" fillId="0" borderId="74" xfId="0" applyNumberFormat="1" applyFont="1" applyFill="1" applyBorder="1" applyAlignment="1">
      <alignment vertical="center"/>
    </xf>
    <xf numFmtId="4" fontId="22" fillId="0" borderId="16" xfId="0" applyNumberFormat="1" applyFont="1" applyFill="1" applyBorder="1" applyAlignment="1">
      <alignment vertical="center"/>
    </xf>
    <xf numFmtId="4" fontId="25" fillId="0" borderId="73" xfId="0" applyNumberFormat="1" applyFont="1" applyFill="1" applyBorder="1" applyAlignment="1">
      <alignment vertical="center"/>
    </xf>
    <xf numFmtId="4" fontId="25" fillId="0" borderId="24" xfId="0" applyNumberFormat="1" applyFont="1" applyFill="1" applyBorder="1" applyAlignment="1">
      <alignment vertical="center"/>
    </xf>
    <xf numFmtId="4" fontId="21" fillId="0" borderId="68" xfId="0" applyNumberFormat="1" applyFont="1" applyFill="1" applyBorder="1" applyAlignment="1">
      <alignment vertical="center"/>
    </xf>
    <xf numFmtId="4" fontId="21" fillId="0" borderId="38" xfId="0" applyNumberFormat="1" applyFont="1" applyFill="1" applyBorder="1" applyAlignment="1">
      <alignment vertical="center"/>
    </xf>
    <xf numFmtId="4" fontId="21" fillId="0" borderId="69" xfId="0" applyNumberFormat="1" applyFont="1" applyFill="1" applyBorder="1" applyAlignment="1">
      <alignment vertical="center"/>
    </xf>
    <xf numFmtId="4" fontId="21" fillId="0" borderId="27" xfId="0" applyNumberFormat="1" applyFont="1" applyFill="1" applyBorder="1" applyAlignment="1">
      <alignment vertical="center"/>
    </xf>
    <xf numFmtId="4" fontId="20" fillId="0" borderId="67" xfId="0" applyNumberFormat="1" applyFont="1" applyFill="1" applyBorder="1" applyAlignment="1">
      <alignment horizontal="right" vertical="center"/>
    </xf>
    <xf numFmtId="4" fontId="20" fillId="0" borderId="31" xfId="0" applyNumberFormat="1" applyFont="1" applyFill="1" applyBorder="1" applyAlignment="1">
      <alignment horizontal="right" vertical="center"/>
    </xf>
    <xf numFmtId="4" fontId="20" fillId="0" borderId="68" xfId="0" applyNumberFormat="1" applyFont="1" applyFill="1" applyBorder="1" applyAlignment="1">
      <alignment vertical="center"/>
    </xf>
    <xf numFmtId="4" fontId="20" fillId="0" borderId="38" xfId="0" applyNumberFormat="1" applyFont="1" applyFill="1" applyBorder="1" applyAlignment="1">
      <alignment vertical="center"/>
    </xf>
    <xf numFmtId="4" fontId="20" fillId="0" borderId="74" xfId="0" applyNumberFormat="1" applyFont="1" applyFill="1" applyBorder="1" applyAlignment="1">
      <alignment vertical="center"/>
    </xf>
    <xf numFmtId="4" fontId="20" fillId="0" borderId="16" xfId="0" applyNumberFormat="1" applyFont="1" applyFill="1" applyBorder="1" applyAlignment="1">
      <alignment vertical="center"/>
    </xf>
    <xf numFmtId="4" fontId="21" fillId="0" borderId="74" xfId="0" applyNumberFormat="1" applyFont="1" applyFill="1" applyBorder="1" applyAlignment="1">
      <alignment vertical="center"/>
    </xf>
    <xf numFmtId="4" fontId="21" fillId="0" borderId="16" xfId="0" applyNumberFormat="1" applyFont="1" applyFill="1" applyBorder="1" applyAlignment="1">
      <alignment vertical="center"/>
    </xf>
    <xf numFmtId="4" fontId="21" fillId="0" borderId="73" xfId="0" applyNumberFormat="1" applyFont="1" applyFill="1" applyBorder="1" applyAlignment="1">
      <alignment vertical="center"/>
    </xf>
    <xf numFmtId="4" fontId="21" fillId="0" borderId="24" xfId="0" applyNumberFormat="1" applyFont="1" applyFill="1" applyBorder="1" applyAlignment="1">
      <alignment vertical="center"/>
    </xf>
    <xf numFmtId="4" fontId="23" fillId="0" borderId="73" xfId="0" applyNumberFormat="1" applyFont="1" applyFill="1" applyBorder="1" applyAlignment="1">
      <alignment vertical="center"/>
    </xf>
    <xf numFmtId="4" fontId="23" fillId="0" borderId="24" xfId="0" applyNumberFormat="1" applyFont="1" applyFill="1" applyBorder="1" applyAlignment="1">
      <alignment vertical="center"/>
    </xf>
    <xf numFmtId="4" fontId="20" fillId="0" borderId="65" xfId="0" applyNumberFormat="1" applyFont="1" applyFill="1" applyBorder="1" applyAlignment="1">
      <alignment vertical="center"/>
    </xf>
    <xf numFmtId="4" fontId="20" fillId="0" borderId="19" xfId="0" applyNumberFormat="1" applyFont="1" applyFill="1" applyBorder="1" applyAlignment="1">
      <alignment vertical="center"/>
    </xf>
    <xf numFmtId="4" fontId="20" fillId="0" borderId="62" xfId="0" applyNumberFormat="1" applyFont="1" applyFill="1" applyBorder="1" applyAlignment="1">
      <alignment vertical="center"/>
    </xf>
    <xf numFmtId="4" fontId="20" fillId="0" borderId="64" xfId="0" applyNumberFormat="1" applyFont="1" applyFill="1" applyBorder="1" applyAlignment="1">
      <alignment vertical="center"/>
    </xf>
    <xf numFmtId="4" fontId="20" fillId="0" borderId="72" xfId="0" applyNumberFormat="1" applyFont="1" applyFill="1" applyBorder="1" applyAlignment="1">
      <alignment vertical="center"/>
    </xf>
    <xf numFmtId="4" fontId="25" fillId="0" borderId="71" xfId="0" applyNumberFormat="1" applyFont="1" applyFill="1" applyBorder="1" applyAlignment="1">
      <alignment vertical="center"/>
    </xf>
    <xf numFmtId="4" fontId="25" fillId="0" borderId="43" xfId="0" applyNumberFormat="1" applyFont="1" applyFill="1" applyBorder="1" applyAlignment="1">
      <alignment vertical="center"/>
    </xf>
    <xf numFmtId="4" fontId="25" fillId="0" borderId="69" xfId="0" applyNumberFormat="1" applyFont="1" applyFill="1" applyBorder="1" applyAlignment="1">
      <alignment vertical="center"/>
    </xf>
    <xf numFmtId="4" fontId="25" fillId="0" borderId="27" xfId="0" applyNumberFormat="1" applyFont="1" applyFill="1" applyBorder="1" applyAlignment="1">
      <alignment vertical="center"/>
    </xf>
    <xf numFmtId="4" fontId="23" fillId="0" borderId="59" xfId="0" applyNumberFormat="1" applyFont="1" applyFill="1" applyBorder="1" applyAlignment="1">
      <alignment vertical="center"/>
    </xf>
    <xf numFmtId="4" fontId="20" fillId="0" borderId="59" xfId="0" applyNumberFormat="1" applyFont="1" applyFill="1" applyBorder="1" applyAlignment="1">
      <alignment vertical="center"/>
    </xf>
    <xf numFmtId="4" fontId="20" fillId="0" borderId="60" xfId="0" applyNumberFormat="1" applyFont="1" applyFill="1" applyBorder="1" applyAlignment="1">
      <alignment vertical="center"/>
    </xf>
    <xf numFmtId="4" fontId="20" fillId="0" borderId="55" xfId="0" applyNumberFormat="1" applyFont="1" applyFill="1" applyBorder="1" applyAlignment="1">
      <alignment vertical="center"/>
    </xf>
    <xf numFmtId="4" fontId="21" fillId="0" borderId="58" xfId="0" applyNumberFormat="1" applyFont="1" applyFill="1" applyBorder="1" applyAlignment="1">
      <alignment vertical="center"/>
    </xf>
    <xf numFmtId="4" fontId="26" fillId="0" borderId="67" xfId="0" applyNumberFormat="1" applyFont="1" applyFill="1" applyBorder="1" applyAlignment="1">
      <alignment vertical="center"/>
    </xf>
    <xf numFmtId="4" fontId="26" fillId="0" borderId="31" xfId="0" applyNumberFormat="1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'[2]Прил 5'!$A$525:$F$1899</c:f>
              <c:multiLvlStrCache>
                <c:ptCount val="1"/>
                <c:lvl>
                  <c:pt idx="0">
                    <c:v>Почие услуги</c:v>
                  </c:pt>
                </c:lvl>
                <c:lvl>
                  <c:pt idx="0">
                    <c:v>Приобретение работ, услуг</c:v>
                  </c:pt>
                </c:lvl>
                <c:lvl>
                  <c:pt idx="0">
                    <c:v>Расходы</c:v>
                  </c:pt>
                </c:lvl>
                <c:lvl>
                  <c:pt idx="0">
                    <c:v>Выполнение функций органами местного самоуправления</c:v>
                  </c:pt>
                </c:lvl>
                <c:lvl>
                  <c:pt idx="0">
                    <c:v>Целевые программы муниципальных образований "Комплексные меры злаупотребления наркотиками"</c:v>
                  </c:pt>
                </c:lvl>
                <c:lvl>
                  <c:pt idx="0">
                    <c:v>Увеличение стоимости материальных запасов </c:v>
                  </c:pt>
                </c:lvl>
              </c:multiLvlStrCache>
            </c:multiLvlStrRef>
          </c:cat>
          <c:val>
            <c:numRef>
              <c:f>'[2]Прил 5'!#REF!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'[2]Прил 5'!$A$525:$F$1899</c:f>
              <c:multiLvlStrCache>
                <c:ptCount val="1"/>
                <c:lvl>
                  <c:pt idx="0">
                    <c:v>Почие услуги</c:v>
                  </c:pt>
                </c:lvl>
                <c:lvl>
                  <c:pt idx="0">
                    <c:v>Приобретение работ, услуг</c:v>
                  </c:pt>
                </c:lvl>
                <c:lvl>
                  <c:pt idx="0">
                    <c:v>Расходы</c:v>
                  </c:pt>
                </c:lvl>
                <c:lvl>
                  <c:pt idx="0">
                    <c:v>Выполнение функций органами местного самоуправления</c:v>
                  </c:pt>
                </c:lvl>
                <c:lvl>
                  <c:pt idx="0">
                    <c:v>Целевые программы муниципальных образований "Комплексные меры злаупотребления наркотиками"</c:v>
                  </c:pt>
                </c:lvl>
                <c:lvl>
                  <c:pt idx="0">
                    <c:v>Увеличение стоимости материальных запасов </c:v>
                  </c:pt>
                </c:lvl>
              </c:multiLvlStrCache>
            </c:multiLvlStrRef>
          </c:cat>
          <c:val>
            <c:numRef>
              <c:f>'[2]Прил 5'!#REF!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'[2]Прил 5'!$A$525:$F$1899</c:f>
              <c:multiLvlStrCache>
                <c:ptCount val="1"/>
                <c:lvl>
                  <c:pt idx="0">
                    <c:v>Почие услуги</c:v>
                  </c:pt>
                </c:lvl>
                <c:lvl>
                  <c:pt idx="0">
                    <c:v>Приобретение работ, услуг</c:v>
                  </c:pt>
                </c:lvl>
                <c:lvl>
                  <c:pt idx="0">
                    <c:v>Расходы</c:v>
                  </c:pt>
                </c:lvl>
                <c:lvl>
                  <c:pt idx="0">
                    <c:v>Выполнение функций органами местного самоуправления</c:v>
                  </c:pt>
                </c:lvl>
                <c:lvl>
                  <c:pt idx="0">
                    <c:v>Целевые программы муниципальных образований "Комплексные меры злаупотребления наркотиками"</c:v>
                  </c:pt>
                </c:lvl>
                <c:lvl>
                  <c:pt idx="0">
                    <c:v>Увеличение стоимости материальных запасов </c:v>
                  </c:pt>
                </c:lvl>
              </c:multiLvlStrCache>
            </c:multiLvlStrRef>
          </c:cat>
          <c:val>
            <c:numRef>
              <c:f>'[2]Прил 5'!#REF!</c:f>
              <c:numCache>
                <c:ptCount val="1"/>
                <c:pt idx="0">
                  <c:v>0</c:v>
                </c:pt>
              </c:numCache>
            </c:numRef>
          </c:val>
        </c:ser>
        <c:axId val="6391976"/>
        <c:axId val="57527785"/>
      </c:areaChart>
      <c:catAx>
        <c:axId val="6391976"/>
        <c:scaling>
          <c:orientation val="minMax"/>
        </c:scaling>
        <c:axPos val="b"/>
        <c:delete val="1"/>
        <c:majorTickMark val="out"/>
        <c:minorTickMark val="none"/>
        <c:tickLblPos val="nextTo"/>
        <c:crossAx val="57527785"/>
        <c:crosses val="autoZero"/>
        <c:auto val="1"/>
        <c:lblOffset val="100"/>
        <c:tickLblSkip val="1"/>
        <c:noMultiLvlLbl val="0"/>
      </c:catAx>
      <c:valAx>
        <c:axId val="575277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63919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'[1]Прил 5'!$A$525:$F$1899</c:f>
              <c:multiLvlStrCache>
                <c:ptCount val="1"/>
                <c:lvl>
                  <c:pt idx="0">
                    <c:v>Почие услуги</c:v>
                  </c:pt>
                </c:lvl>
                <c:lvl>
                  <c:pt idx="0">
                    <c:v>Приобретение работ, услуг</c:v>
                  </c:pt>
                </c:lvl>
                <c:lvl>
                  <c:pt idx="0">
                    <c:v>Расходы</c:v>
                  </c:pt>
                </c:lvl>
                <c:lvl>
                  <c:pt idx="0">
                    <c:v>Выполнение функций органами местного самоуправления</c:v>
                  </c:pt>
                </c:lvl>
                <c:lvl>
                  <c:pt idx="0">
                    <c:v>Целевые программы муниципальных образований "Комплексные меры злаупотребления наркотиками"</c:v>
                  </c:pt>
                </c:lvl>
                <c:lvl>
                  <c:pt idx="0">
                    <c:v>Увеличение стоимости материальных запасов </c:v>
                  </c:pt>
                </c:lvl>
              </c:multiLvlStrCache>
            </c:multiLvlStrRef>
          </c:cat>
          <c:val>
            <c:numRef>
              <c:f>'[1]Прил 5'!#REF!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'[1]Прил 5'!$A$525:$F$1899</c:f>
              <c:multiLvlStrCache>
                <c:ptCount val="1"/>
                <c:lvl>
                  <c:pt idx="0">
                    <c:v>Почие услуги</c:v>
                  </c:pt>
                </c:lvl>
                <c:lvl>
                  <c:pt idx="0">
                    <c:v>Приобретение работ, услуг</c:v>
                  </c:pt>
                </c:lvl>
                <c:lvl>
                  <c:pt idx="0">
                    <c:v>Расходы</c:v>
                  </c:pt>
                </c:lvl>
                <c:lvl>
                  <c:pt idx="0">
                    <c:v>Выполнение функций органами местного самоуправления</c:v>
                  </c:pt>
                </c:lvl>
                <c:lvl>
                  <c:pt idx="0">
                    <c:v>Целевые программы муниципальных образований "Комплексные меры злаупотребления наркотиками"</c:v>
                  </c:pt>
                </c:lvl>
                <c:lvl>
                  <c:pt idx="0">
                    <c:v>Увеличение стоимости материальных запасов </c:v>
                  </c:pt>
                </c:lvl>
              </c:multiLvlStrCache>
            </c:multiLvlStrRef>
          </c:cat>
          <c:val>
            <c:numRef>
              <c:f>'[1]Прил 5'!#REF!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'[1]Прил 5'!$A$525:$F$1899</c:f>
              <c:multiLvlStrCache>
                <c:ptCount val="1"/>
                <c:lvl>
                  <c:pt idx="0">
                    <c:v>Почие услуги</c:v>
                  </c:pt>
                </c:lvl>
                <c:lvl>
                  <c:pt idx="0">
                    <c:v>Приобретение работ, услуг</c:v>
                  </c:pt>
                </c:lvl>
                <c:lvl>
                  <c:pt idx="0">
                    <c:v>Расходы</c:v>
                  </c:pt>
                </c:lvl>
                <c:lvl>
                  <c:pt idx="0">
                    <c:v>Выполнение функций органами местного самоуправления</c:v>
                  </c:pt>
                </c:lvl>
                <c:lvl>
                  <c:pt idx="0">
                    <c:v>Целевые программы муниципальных образований "Комплексные меры злаупотребления наркотиками"</c:v>
                  </c:pt>
                </c:lvl>
                <c:lvl>
                  <c:pt idx="0">
                    <c:v>Увеличение стоимости материальных запасов </c:v>
                  </c:pt>
                </c:lvl>
              </c:multiLvlStrCache>
            </c:multiLvlStrRef>
          </c:cat>
          <c:val>
            <c:numRef>
              <c:f>'[1]Прил 5'!#REF!</c:f>
              <c:numCache>
                <c:ptCount val="1"/>
                <c:pt idx="0">
                  <c:v>0</c:v>
                </c:pt>
              </c:numCache>
            </c:numRef>
          </c:val>
        </c:ser>
        <c:axId val="47988018"/>
        <c:axId val="29238979"/>
      </c:areaChart>
      <c:catAx>
        <c:axId val="47988018"/>
        <c:scaling>
          <c:orientation val="minMax"/>
        </c:scaling>
        <c:axPos val="b"/>
        <c:delete val="1"/>
        <c:majorTickMark val="out"/>
        <c:minorTickMark val="none"/>
        <c:tickLblPos val="nextTo"/>
        <c:crossAx val="29238979"/>
        <c:crosses val="autoZero"/>
        <c:auto val="1"/>
        <c:lblOffset val="100"/>
        <c:tickLblSkip val="1"/>
        <c:noMultiLvlLbl val="0"/>
      </c:catAx>
      <c:valAx>
        <c:axId val="292389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79880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955</xdr:row>
      <xdr:rowOff>0</xdr:rowOff>
    </xdr:from>
    <xdr:to>
      <xdr:col>6</xdr:col>
      <xdr:colOff>0</xdr:colOff>
      <xdr:row>955</xdr:row>
      <xdr:rowOff>0</xdr:rowOff>
    </xdr:to>
    <xdr:graphicFrame>
      <xdr:nvGraphicFramePr>
        <xdr:cNvPr id="1" name="Chart 1"/>
        <xdr:cNvGraphicFramePr/>
      </xdr:nvGraphicFramePr>
      <xdr:xfrm>
        <a:off x="6496050" y="777430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955</xdr:row>
      <xdr:rowOff>0</xdr:rowOff>
    </xdr:from>
    <xdr:to>
      <xdr:col>6</xdr:col>
      <xdr:colOff>0</xdr:colOff>
      <xdr:row>955</xdr:row>
      <xdr:rowOff>0</xdr:rowOff>
    </xdr:to>
    <xdr:graphicFrame>
      <xdr:nvGraphicFramePr>
        <xdr:cNvPr id="2" name="Chart 1"/>
        <xdr:cNvGraphicFramePr/>
      </xdr:nvGraphicFramePr>
      <xdr:xfrm>
        <a:off x="6496050" y="777430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6;&#1095;&#1090;&#1072;\&#1055;&#1088;&#1080;&#1083;&#1086;&#1078;&#1077;&#1085;&#1080;&#1077;%20&#8470;5%20(&#1087;&#1086;%20&#1050;&#1041;&#1050;)%20&#1053;&#1054;&#1042;&#1067;&#1049;%20%20&#1053;&#1040;%20&#1055;&#1045;&#1063;&#1040;&#1058;&#1068;!!!!!!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&#1099;\&#1041;&#1102;&#1076;&#1078;&#1077;&#1090;&#1099;\2013&#1075;&#1086;&#1076;\&#1055;&#1088;&#1080;&#1083;&#1086;&#1078;&#1077;&#1085;&#1080;&#1077;%20&#8470;5%20(&#1087;&#1086;%20&#1050;&#1041;&#1050;)%20&#1053;&#1054;&#1042;&#1067;&#1049;%20%20&#1053;&#1040;%20&#1055;&#1045;&#1063;&#1040;&#1058;&#1068;!!!!!!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5"/>
    </sheetNames>
    <sheetDataSet>
      <sheetData sheetId="0">
        <row r="525">
          <cell r="A525" t="str">
            <v>Субвенции  на осуществление органами местного самоуправления ОГП по обеспечению жилыми помещениями детей сирот, оставшихся без попечения родителей</v>
          </cell>
          <cell r="B525" t="str">
            <v>902</v>
          </cell>
          <cell r="C525" t="str">
            <v>05</v>
          </cell>
          <cell r="D525" t="str">
            <v>01</v>
          </cell>
          <cell r="E525" t="str">
            <v>505 36 00</v>
          </cell>
          <cell r="F525" t="str">
            <v>000</v>
          </cell>
        </row>
        <row r="526">
          <cell r="A526" t="str">
            <v>ФБ</v>
          </cell>
          <cell r="B526" t="str">
            <v>902</v>
          </cell>
          <cell r="C526" t="str">
            <v>05</v>
          </cell>
          <cell r="D526" t="str">
            <v>01</v>
          </cell>
          <cell r="E526" t="str">
            <v>505 36 00</v>
          </cell>
          <cell r="F526" t="str">
            <v>000</v>
          </cell>
        </row>
        <row r="527">
          <cell r="A527" t="str">
            <v>Поступление нефинансовых активов</v>
          </cell>
          <cell r="B527" t="str">
            <v>902</v>
          </cell>
          <cell r="C527" t="str">
            <v>05</v>
          </cell>
          <cell r="D527" t="str">
            <v>01</v>
          </cell>
          <cell r="E527" t="str">
            <v>505 36 00</v>
          </cell>
          <cell r="F527" t="str">
            <v>003</v>
          </cell>
        </row>
        <row r="528">
          <cell r="A528" t="str">
            <v>Увеличение стоимости основных средств</v>
          </cell>
          <cell r="B528" t="str">
            <v>902</v>
          </cell>
          <cell r="C528" t="str">
            <v>05</v>
          </cell>
          <cell r="D528" t="str">
            <v>01</v>
          </cell>
          <cell r="E528" t="str">
            <v>505 36 00</v>
          </cell>
          <cell r="F528" t="str">
            <v>003</v>
          </cell>
        </row>
        <row r="529">
          <cell r="A529" t="str">
            <v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ФБ</v>
          </cell>
          <cell r="B529" t="str">
            <v>902</v>
          </cell>
          <cell r="C529" t="str">
            <v>05</v>
          </cell>
          <cell r="D529" t="str">
            <v>01</v>
          </cell>
          <cell r="E529" t="str">
            <v>505 36 00</v>
          </cell>
          <cell r="F529" t="str">
            <v>000</v>
          </cell>
        </row>
        <row r="530">
          <cell r="B530" t="str">
            <v>902</v>
          </cell>
          <cell r="C530" t="str">
            <v>05</v>
          </cell>
          <cell r="D530" t="str">
            <v>01</v>
          </cell>
          <cell r="E530" t="str">
            <v>505 36 00</v>
          </cell>
          <cell r="F530" t="str">
            <v>000</v>
          </cell>
        </row>
        <row r="531">
          <cell r="B531" t="str">
            <v>902</v>
          </cell>
          <cell r="C531" t="str">
            <v>05</v>
          </cell>
          <cell r="D531" t="str">
            <v>01</v>
          </cell>
          <cell r="E531" t="str">
            <v>505 36 00</v>
          </cell>
          <cell r="F531" t="str">
            <v>003</v>
          </cell>
        </row>
        <row r="532">
          <cell r="B532" t="str">
            <v>902</v>
          </cell>
          <cell r="C532" t="str">
            <v>05</v>
          </cell>
          <cell r="D532" t="str">
            <v>01</v>
          </cell>
          <cell r="E532" t="str">
            <v>505 36 00</v>
          </cell>
          <cell r="F532" t="str">
            <v>003</v>
          </cell>
        </row>
        <row r="533">
          <cell r="B533" t="str">
            <v>902</v>
          </cell>
          <cell r="C533" t="str">
            <v>05</v>
          </cell>
          <cell r="D533" t="str">
            <v>01</v>
          </cell>
          <cell r="E533" t="str">
            <v>505 36 00</v>
          </cell>
          <cell r="F533" t="str">
            <v>003</v>
          </cell>
        </row>
        <row r="534">
          <cell r="A534" t="str">
            <v>Поступление нефинансовых активов</v>
          </cell>
          <cell r="B534" t="str">
            <v>902</v>
          </cell>
          <cell r="C534" t="str">
            <v>05</v>
          </cell>
          <cell r="D534" t="str">
            <v>01</v>
          </cell>
          <cell r="E534" t="str">
            <v>505 36 00</v>
          </cell>
          <cell r="F534" t="str">
            <v>003</v>
          </cell>
        </row>
        <row r="535">
          <cell r="A535" t="str">
            <v>Увеличение стоимости основных средств</v>
          </cell>
          <cell r="B535" t="str">
            <v>902</v>
          </cell>
          <cell r="C535" t="str">
            <v>05</v>
          </cell>
          <cell r="D535" t="str">
            <v>01</v>
          </cell>
          <cell r="E535" t="str">
            <v>505 36 00</v>
          </cell>
          <cell r="F535" t="str">
            <v>003</v>
          </cell>
        </row>
        <row r="536">
          <cell r="A536" t="str">
            <v>Целевые программы муниципальных образований </v>
          </cell>
          <cell r="B536" t="str">
            <v>902</v>
          </cell>
          <cell r="C536" t="str">
            <v>05</v>
          </cell>
          <cell r="D536" t="str">
            <v>01</v>
          </cell>
          <cell r="E536" t="str">
            <v>795 00 00</v>
          </cell>
          <cell r="F536" t="str">
            <v>000</v>
          </cell>
        </row>
        <row r="537">
          <cell r="A537" t="str">
            <v>Выполнение функций органами местного самоуправления</v>
          </cell>
          <cell r="B537" t="str">
            <v>902</v>
          </cell>
          <cell r="C537" t="str">
            <v>05</v>
          </cell>
          <cell r="D537" t="str">
            <v>01</v>
          </cell>
          <cell r="E537" t="str">
            <v>795 00 00</v>
          </cell>
          <cell r="F537" t="str">
            <v>500</v>
          </cell>
        </row>
        <row r="538">
          <cell r="A538" t="str">
            <v>Расходы</v>
          </cell>
          <cell r="B538" t="str">
            <v>902</v>
          </cell>
          <cell r="C538" t="str">
            <v>05</v>
          </cell>
          <cell r="D538" t="str">
            <v>01</v>
          </cell>
          <cell r="E538" t="str">
            <v>795 00 00</v>
          </cell>
          <cell r="F538" t="str">
            <v>500</v>
          </cell>
        </row>
        <row r="539">
          <cell r="A539" t="str">
            <v>Приобретение работ, услуг</v>
          </cell>
          <cell r="B539" t="str">
            <v>902</v>
          </cell>
          <cell r="C539" t="str">
            <v>05</v>
          </cell>
          <cell r="D539" t="str">
            <v>01</v>
          </cell>
          <cell r="E539" t="str">
            <v>795 00 00</v>
          </cell>
          <cell r="F539" t="str">
            <v>500</v>
          </cell>
        </row>
        <row r="540">
          <cell r="A540" t="str">
            <v>"Переселение  граждан из ветхого и аварийного  жилиго фонда  на 2011-2013 гг"</v>
          </cell>
          <cell r="B540" t="str">
            <v>902</v>
          </cell>
          <cell r="C540" t="str">
            <v>05</v>
          </cell>
          <cell r="D540" t="str">
            <v>01</v>
          </cell>
          <cell r="E540" t="str">
            <v>795 24 00</v>
          </cell>
          <cell r="F540" t="str">
            <v>000</v>
          </cell>
        </row>
        <row r="541">
          <cell r="A541" t="str">
            <v>Прочие расходы "Переселение граждан из ветхого и аварийного жилья"</v>
          </cell>
          <cell r="B541" t="str">
            <v>902</v>
          </cell>
          <cell r="C541" t="str">
            <v>05</v>
          </cell>
          <cell r="D541" t="str">
            <v>01</v>
          </cell>
          <cell r="E541" t="str">
            <v>795 00 00</v>
          </cell>
          <cell r="F541" t="str">
            <v>500</v>
          </cell>
        </row>
        <row r="542">
          <cell r="A542" t="str">
            <v>Поступление нефинансовых активов</v>
          </cell>
          <cell r="B542" t="str">
            <v>902</v>
          </cell>
          <cell r="C542" t="str">
            <v>05</v>
          </cell>
          <cell r="D542" t="str">
            <v>01</v>
          </cell>
          <cell r="E542" t="str">
            <v>795 00 00</v>
          </cell>
          <cell r="F542" t="str">
            <v>500</v>
          </cell>
        </row>
        <row r="543">
          <cell r="A543" t="str">
            <v>Увеличение стоимости основных средств "Переселение граждан из ветхого и авар жилья"</v>
          </cell>
          <cell r="B543" t="str">
            <v>902</v>
          </cell>
          <cell r="C543" t="str">
            <v>05</v>
          </cell>
          <cell r="D543" t="str">
            <v>01</v>
          </cell>
          <cell r="E543" t="str">
            <v>795 00 00</v>
          </cell>
          <cell r="F543" t="str">
            <v>500</v>
          </cell>
        </row>
        <row r="544">
          <cell r="A544" t="str">
            <v>Выполнение функций органами местного самоуправления</v>
          </cell>
          <cell r="B544" t="str">
            <v>902</v>
          </cell>
          <cell r="C544" t="str">
            <v>05</v>
          </cell>
          <cell r="D544" t="str">
            <v>01</v>
          </cell>
          <cell r="E544" t="str">
            <v>795 24 00</v>
          </cell>
          <cell r="F544" t="str">
            <v>500</v>
          </cell>
        </row>
        <row r="545">
          <cell r="A545" t="str">
            <v>"Проведение капитального ремонта  многоквартирных жилых  домов на территории Усольского района  на 2012-2015 гг"</v>
          </cell>
          <cell r="B545" t="str">
            <v>902</v>
          </cell>
          <cell r="C545" t="str">
            <v>05</v>
          </cell>
          <cell r="D545" t="str">
            <v>01</v>
          </cell>
          <cell r="E545" t="str">
            <v>795 36 00</v>
          </cell>
          <cell r="F545" t="str">
            <v>000</v>
          </cell>
        </row>
        <row r="546">
          <cell r="A546" t="str">
            <v>Выполнение функций органами местного самоуправления</v>
          </cell>
          <cell r="B546" t="str">
            <v>902</v>
          </cell>
          <cell r="C546" t="str">
            <v>05</v>
          </cell>
          <cell r="D546" t="str">
            <v>01</v>
          </cell>
          <cell r="E546" t="str">
            <v>795 36 00</v>
          </cell>
          <cell r="F546" t="str">
            <v>500</v>
          </cell>
        </row>
        <row r="547">
          <cell r="A547" t="str">
            <v>Коммунальное хозяйство</v>
          </cell>
          <cell r="B547" t="str">
            <v>902</v>
          </cell>
          <cell r="C547" t="str">
            <v>05</v>
          </cell>
          <cell r="D547" t="str">
            <v>02</v>
          </cell>
          <cell r="E547" t="str">
            <v>000 00 00</v>
          </cell>
          <cell r="F547" t="str">
            <v>000</v>
          </cell>
        </row>
        <row r="548">
          <cell r="A548" t="str">
            <v>Резервные фонды</v>
          </cell>
          <cell r="B548" t="str">
            <v>902</v>
          </cell>
          <cell r="C548" t="str">
            <v>05</v>
          </cell>
          <cell r="D548" t="str">
            <v>02</v>
          </cell>
          <cell r="E548" t="str">
            <v>070 00 00</v>
          </cell>
          <cell r="F548" t="str">
            <v>000</v>
          </cell>
        </row>
        <row r="549">
          <cell r="A549" t="str">
            <v>Резервные фонды исполнительных органов государственной власти субъектов Российской Федерации</v>
          </cell>
          <cell r="B549" t="str">
            <v>902</v>
          </cell>
          <cell r="C549" t="str">
            <v>05</v>
          </cell>
          <cell r="D549" t="str">
            <v>02</v>
          </cell>
          <cell r="E549" t="str">
            <v>070 04 00</v>
          </cell>
          <cell r="F549" t="str">
            <v>000</v>
          </cell>
        </row>
        <row r="550">
          <cell r="A550" t="str">
            <v>Выполнение функций органами местного самоуправления</v>
          </cell>
          <cell r="B550" t="str">
            <v>902</v>
          </cell>
          <cell r="C550" t="str">
            <v>05</v>
          </cell>
          <cell r="D550" t="str">
            <v>02</v>
          </cell>
          <cell r="E550" t="str">
            <v>070 04 00</v>
          </cell>
          <cell r="F550" t="str">
            <v>500</v>
          </cell>
        </row>
        <row r="551">
          <cell r="A551" t="str">
            <v>Расходы</v>
          </cell>
          <cell r="B551" t="str">
            <v>902</v>
          </cell>
          <cell r="C551" t="str">
            <v>05</v>
          </cell>
          <cell r="D551" t="str">
            <v>02</v>
          </cell>
          <cell r="E551" t="str">
            <v>070  04 00</v>
          </cell>
          <cell r="F551" t="str">
            <v>500</v>
          </cell>
        </row>
        <row r="552">
          <cell r="A552" t="str">
            <v>Приобретение работ, услуг</v>
          </cell>
          <cell r="B552" t="str">
            <v>902</v>
          </cell>
          <cell r="C552" t="str">
            <v>05</v>
          </cell>
          <cell r="D552" t="str">
            <v>02</v>
          </cell>
          <cell r="E552" t="str">
            <v>070  04 00</v>
          </cell>
          <cell r="F552" t="str">
            <v>500</v>
          </cell>
        </row>
        <row r="553">
          <cell r="A553" t="str">
            <v>Работы, услуги по содержанию имущества</v>
          </cell>
          <cell r="B553" t="str">
            <v>902</v>
          </cell>
          <cell r="C553" t="str">
            <v>05</v>
          </cell>
          <cell r="D553" t="str">
            <v>02</v>
          </cell>
          <cell r="E553" t="str">
            <v>070 04 00</v>
          </cell>
          <cell r="F553" t="str">
            <v>500</v>
          </cell>
        </row>
        <row r="554">
          <cell r="A554" t="str">
            <v>Поддержка коммунального хозяйства </v>
          </cell>
          <cell r="B554" t="str">
            <v>902</v>
          </cell>
          <cell r="C554" t="str">
            <v>05</v>
          </cell>
          <cell r="D554" t="str">
            <v>02</v>
          </cell>
          <cell r="E554" t="str">
            <v>351 00 00</v>
          </cell>
          <cell r="F554" t="str">
            <v>000</v>
          </cell>
        </row>
        <row r="555">
          <cell r="A555" t="str">
            <v>Компенсация выпадающих доходов организациям, предоставляющим населению услуги теплоснабжения по тарифам, не обеспечивающим возмещение издержек</v>
          </cell>
          <cell r="B555" t="str">
            <v>902</v>
          </cell>
          <cell r="C555" t="str">
            <v>05</v>
          </cell>
          <cell r="D555" t="str">
            <v>02</v>
          </cell>
          <cell r="E555" t="str">
            <v>351 02 00</v>
          </cell>
          <cell r="F555" t="str">
            <v>000</v>
          </cell>
        </row>
        <row r="556">
          <cell r="A556" t="str">
            <v>Субсидии юридическим лицам</v>
          </cell>
          <cell r="B556" t="str">
            <v>902</v>
          </cell>
          <cell r="C556" t="str">
            <v>05</v>
          </cell>
          <cell r="D556" t="str">
            <v>02</v>
          </cell>
          <cell r="E556" t="str">
            <v>351 02 00</v>
          </cell>
          <cell r="F556" t="str">
            <v>006</v>
          </cell>
        </row>
        <row r="557">
          <cell r="A557" t="str">
            <v>Расходы</v>
          </cell>
          <cell r="B557" t="str">
            <v>902</v>
          </cell>
          <cell r="C557" t="str">
            <v>05</v>
          </cell>
          <cell r="D557" t="str">
            <v>02</v>
          </cell>
          <cell r="E557" t="str">
            <v>351 02 00</v>
          </cell>
          <cell r="F557" t="str">
            <v>006</v>
          </cell>
        </row>
        <row r="558">
          <cell r="A558" t="str">
            <v>Безвозмездные и безвозвратные перечисления  организациям </v>
          </cell>
          <cell r="B558" t="str">
            <v>902</v>
          </cell>
          <cell r="C558" t="str">
            <v>05</v>
          </cell>
          <cell r="D558" t="str">
            <v>02</v>
          </cell>
          <cell r="E558" t="str">
            <v>351 02 00</v>
          </cell>
          <cell r="F558" t="str">
            <v>006</v>
          </cell>
        </row>
        <row r="559">
          <cell r="A559" t="str">
            <v>Безвозмездные и безвозвратные перечисления организациям, за исключением государственных и муниципальных организаций район</v>
          </cell>
          <cell r="B559" t="str">
            <v>902</v>
          </cell>
          <cell r="C559" t="str">
            <v>05</v>
          </cell>
          <cell r="D559" t="str">
            <v>02</v>
          </cell>
          <cell r="E559" t="str">
            <v>351 02 00</v>
          </cell>
          <cell r="F559" t="str">
            <v>006</v>
          </cell>
        </row>
        <row r="560">
          <cell r="A560" t="str">
            <v>Безвозмездные и безвозвратные перечисления организациям, за исключением государственных и муниципальных организаций переданные Доп ЭК 8.30.00.00</v>
          </cell>
          <cell r="B560" t="str">
            <v>902</v>
          </cell>
          <cell r="C560" t="str">
            <v>05</v>
          </cell>
          <cell r="D560" t="str">
            <v>02</v>
          </cell>
          <cell r="E560" t="str">
            <v>351 02 00</v>
          </cell>
          <cell r="F560" t="str">
            <v>006</v>
          </cell>
        </row>
        <row r="561">
          <cell r="A561" t="str">
            <v>Мероприятия в области коммунального хозяйства по подготовке к зиме</v>
          </cell>
          <cell r="B561" t="str">
            <v>902</v>
          </cell>
          <cell r="C561" t="str">
            <v>05</v>
          </cell>
          <cell r="D561" t="str">
            <v>02</v>
          </cell>
          <cell r="E561" t="str">
            <v>351 05 00</v>
          </cell>
          <cell r="F561" t="str">
            <v>000</v>
          </cell>
        </row>
        <row r="562">
          <cell r="A562" t="str">
            <v>Выполнение функций органами местного самоуправления</v>
          </cell>
          <cell r="B562" t="str">
            <v>902</v>
          </cell>
          <cell r="C562" t="str">
            <v>05</v>
          </cell>
          <cell r="D562" t="str">
            <v>02</v>
          </cell>
          <cell r="E562" t="str">
            <v>351 05 00</v>
          </cell>
          <cell r="F562" t="str">
            <v>500</v>
          </cell>
        </row>
        <row r="563">
          <cell r="A563" t="str">
            <v>Расходы</v>
          </cell>
          <cell r="B563" t="str">
            <v>902</v>
          </cell>
          <cell r="C563" t="str">
            <v>05</v>
          </cell>
          <cell r="D563" t="str">
            <v>02</v>
          </cell>
          <cell r="E563" t="str">
            <v>351 05 00</v>
          </cell>
          <cell r="F563" t="str">
            <v>500</v>
          </cell>
        </row>
        <row r="564">
          <cell r="A564" t="str">
            <v>Приобретение работ, услуг</v>
          </cell>
          <cell r="B564" t="str">
            <v>902</v>
          </cell>
          <cell r="C564" t="str">
            <v>05</v>
          </cell>
          <cell r="D564" t="str">
            <v>02</v>
          </cell>
          <cell r="E564" t="str">
            <v>351 05 00</v>
          </cell>
          <cell r="F564" t="str">
            <v>500</v>
          </cell>
        </row>
        <row r="565">
          <cell r="A565" t="str">
            <v>Работы, услуги по содержанию имущества</v>
          </cell>
          <cell r="B565" t="str">
            <v>902</v>
          </cell>
          <cell r="C565" t="str">
            <v>05</v>
          </cell>
          <cell r="D565" t="str">
            <v>02</v>
          </cell>
          <cell r="E565" t="str">
            <v>351 05 00</v>
          </cell>
          <cell r="F565" t="str">
            <v>500</v>
          </cell>
        </row>
        <row r="566">
          <cell r="A566" t="str">
            <v>Поступление нефинансовых активов</v>
          </cell>
          <cell r="B566" t="str">
            <v>902</v>
          </cell>
          <cell r="C566" t="str">
            <v>05</v>
          </cell>
          <cell r="D566" t="str">
            <v>02</v>
          </cell>
          <cell r="E566" t="str">
            <v>351 05 00</v>
          </cell>
          <cell r="F566" t="str">
            <v>500</v>
          </cell>
        </row>
        <row r="567">
          <cell r="A567" t="str">
            <v>Увеличение стоимости основных средств</v>
          </cell>
          <cell r="B567" t="str">
            <v>902</v>
          </cell>
          <cell r="C567" t="str">
            <v>05</v>
          </cell>
          <cell r="D567" t="str">
            <v>02</v>
          </cell>
          <cell r="E567" t="str">
            <v>351 05 00</v>
          </cell>
          <cell r="F567" t="str">
            <v>500</v>
          </cell>
        </row>
        <row r="568">
          <cell r="A568" t="str">
            <v>Софинансирование социальных программ субъектов Российской Федерации, связанных с предоставлением субсидий бюджетам субъектов Российской Федерации на социальные программы субъектов Российской Федерации, связанные с укреплением материально-технической базы </v>
          </cell>
          <cell r="B568" t="str">
            <v>902</v>
          </cell>
          <cell r="C568" t="str">
            <v>05</v>
          </cell>
          <cell r="D568" t="str">
            <v>02</v>
          </cell>
          <cell r="E568" t="str">
            <v>521 00 00</v>
          </cell>
          <cell r="F568" t="str">
            <v>000</v>
          </cell>
        </row>
        <row r="569">
          <cell r="A569" t="str">
            <v>Субсидии в целях софинансирования расходных обязательств по организации в границах муниципальных образований электро-, тепло-, водоснабжения населения</v>
          </cell>
          <cell r="B569" t="str">
            <v>902</v>
          </cell>
          <cell r="C569" t="str">
            <v>05</v>
          </cell>
          <cell r="D569" t="str">
            <v>02</v>
          </cell>
          <cell r="E569" t="str">
            <v>521 01 05</v>
          </cell>
          <cell r="F569" t="str">
            <v>000</v>
          </cell>
        </row>
        <row r="570">
          <cell r="A570" t="str">
            <v>Субсидии юридическим лицам</v>
          </cell>
          <cell r="B570" t="str">
            <v>902</v>
          </cell>
          <cell r="C570" t="str">
            <v>05</v>
          </cell>
          <cell r="D570" t="str">
            <v>02</v>
          </cell>
          <cell r="E570" t="str">
            <v>521 01 05</v>
          </cell>
          <cell r="F570" t="str">
            <v>006</v>
          </cell>
        </row>
        <row r="571">
          <cell r="A571" t="str">
            <v>Расходы</v>
          </cell>
          <cell r="B571" t="str">
            <v>902</v>
          </cell>
          <cell r="C571" t="str">
            <v>05</v>
          </cell>
          <cell r="D571" t="str">
            <v>02</v>
          </cell>
          <cell r="E571" t="str">
            <v>521 01 05</v>
          </cell>
          <cell r="F571" t="str">
            <v>006</v>
          </cell>
        </row>
        <row r="572">
          <cell r="A572" t="str">
            <v>Безвозмездные и безвозвратные перечисления  организациям </v>
          </cell>
          <cell r="B572" t="str">
            <v>902</v>
          </cell>
          <cell r="C572" t="str">
            <v>05</v>
          </cell>
          <cell r="D572" t="str">
            <v>02</v>
          </cell>
          <cell r="E572" t="str">
            <v>521 01 05</v>
          </cell>
          <cell r="F572" t="str">
            <v>006</v>
          </cell>
        </row>
        <row r="573">
          <cell r="A573" t="str">
            <v>Безвозмездные и безвозвратные перечисления организациям, за исключением государственных и муниципальных организаций</v>
          </cell>
          <cell r="B573" t="str">
            <v>902</v>
          </cell>
          <cell r="C573" t="str">
            <v>05</v>
          </cell>
          <cell r="D573" t="str">
            <v>02</v>
          </cell>
          <cell r="E573" t="str">
            <v>521 01 05</v>
          </cell>
          <cell r="F573" t="str">
            <v>006</v>
          </cell>
        </row>
        <row r="574">
          <cell r="A574" t="str">
            <v>Долгосрочные целевые программы ОБ</v>
          </cell>
          <cell r="B574" t="str">
            <v>902</v>
          </cell>
          <cell r="C574" t="str">
            <v>05</v>
          </cell>
          <cell r="D574" t="str">
            <v>02</v>
          </cell>
          <cell r="E574" t="str">
            <v>522 00 00</v>
          </cell>
          <cell r="F574" t="str">
            <v>000</v>
          </cell>
        </row>
        <row r="575">
          <cell r="A575" t="str">
            <v>Долгосрочная целевая программа «Энергосбережение и повышение энергетической эффективности на территории Иркутской области на 2011-2015 годы и на период до 2020 года»</v>
          </cell>
          <cell r="B575" t="str">
            <v>902</v>
          </cell>
          <cell r="C575" t="str">
            <v>05</v>
          </cell>
          <cell r="D575" t="str">
            <v>02</v>
          </cell>
          <cell r="E575" t="str">
            <v>522 54 00</v>
          </cell>
          <cell r="F575" t="str">
            <v>000</v>
          </cell>
        </row>
        <row r="576">
          <cell r="A576" t="str">
            <v>Фонд софинансирования</v>
          </cell>
          <cell r="B576" t="str">
            <v>902</v>
          </cell>
          <cell r="C576" t="str">
            <v>05</v>
          </cell>
          <cell r="D576" t="str">
            <v>02</v>
          </cell>
          <cell r="E576" t="str">
            <v>522 54 00</v>
          </cell>
          <cell r="F576" t="str">
            <v>010</v>
          </cell>
        </row>
        <row r="577">
          <cell r="A577" t="str">
            <v>Приобретение услуг</v>
          </cell>
          <cell r="B577" t="str">
            <v>902</v>
          </cell>
          <cell r="C577" t="str">
            <v>05</v>
          </cell>
          <cell r="D577" t="str">
            <v>02</v>
          </cell>
          <cell r="E577" t="str">
            <v>522 54 00</v>
          </cell>
          <cell r="F577" t="str">
            <v>010</v>
          </cell>
        </row>
        <row r="578">
          <cell r="A578" t="str">
            <v>Услуги по содержанию иммущества</v>
          </cell>
          <cell r="B578" t="str">
            <v>902</v>
          </cell>
          <cell r="C578" t="str">
            <v>05</v>
          </cell>
          <cell r="D578" t="str">
            <v>02</v>
          </cell>
          <cell r="E578" t="str">
            <v>522 54 00</v>
          </cell>
          <cell r="F578" t="str">
            <v>010</v>
          </cell>
        </row>
        <row r="579">
          <cell r="A579" t="str">
            <v>Услуги по содержанию имущества </v>
          </cell>
          <cell r="B579" t="str">
            <v>902</v>
          </cell>
          <cell r="C579" t="str">
            <v>05</v>
          </cell>
          <cell r="D579" t="str">
            <v>02</v>
          </cell>
          <cell r="E579" t="str">
            <v>522 54 00</v>
          </cell>
          <cell r="F579" t="str">
            <v>010</v>
          </cell>
        </row>
        <row r="580">
          <cell r="A580" t="str">
            <v>Поступление нефинансовых активов</v>
          </cell>
          <cell r="B580" t="str">
            <v>902</v>
          </cell>
          <cell r="C580" t="str">
            <v>05</v>
          </cell>
          <cell r="D580" t="str">
            <v>02</v>
          </cell>
          <cell r="E580" t="str">
            <v>522 54 00</v>
          </cell>
          <cell r="F580" t="str">
            <v>010</v>
          </cell>
        </row>
        <row r="581">
          <cell r="A581" t="str">
            <v>Увеличение стоимости основных средств</v>
          </cell>
          <cell r="B581" t="str">
            <v>902</v>
          </cell>
          <cell r="C581" t="str">
            <v>05</v>
          </cell>
          <cell r="D581" t="str">
            <v>02</v>
          </cell>
          <cell r="E581" t="str">
            <v>522 54 00</v>
          </cell>
          <cell r="F581" t="str">
            <v>010</v>
          </cell>
        </row>
        <row r="582">
          <cell r="A582" t="str">
            <v>Увеличение стоимости материальных запасов</v>
          </cell>
          <cell r="B582" t="str">
            <v>902</v>
          </cell>
          <cell r="C582" t="str">
            <v>05</v>
          </cell>
          <cell r="D582" t="str">
            <v>02</v>
          </cell>
          <cell r="E582" t="str">
            <v>522 54 00</v>
          </cell>
          <cell r="F582" t="str">
            <v>010</v>
          </cell>
        </row>
        <row r="585">
          <cell r="A585" t="str">
            <v>Целевые программы муниципальных образований </v>
          </cell>
          <cell r="B585" t="str">
            <v>902</v>
          </cell>
          <cell r="C585" t="str">
            <v>05</v>
          </cell>
          <cell r="D585" t="str">
            <v>02</v>
          </cell>
          <cell r="E585" t="str">
            <v>795 00 00</v>
          </cell>
          <cell r="F585" t="str">
            <v>000 </v>
          </cell>
        </row>
        <row r="586">
          <cell r="A586" t="str">
            <v>Выполнение функций органами местного самоуправления</v>
          </cell>
          <cell r="B586" t="str">
            <v>902</v>
          </cell>
          <cell r="C586" t="str">
            <v>05</v>
          </cell>
          <cell r="D586" t="str">
            <v>02</v>
          </cell>
          <cell r="E586" t="str">
            <v>795 00 00</v>
          </cell>
          <cell r="F586" t="str">
            <v>500</v>
          </cell>
        </row>
        <row r="587">
          <cell r="A587" t="str">
            <v>"Энергосбережение и повышение энергетической эффективности на 2010-2015 г"</v>
          </cell>
          <cell r="B587" t="str">
            <v>902</v>
          </cell>
          <cell r="C587" t="str">
            <v>05</v>
          </cell>
          <cell r="D587" t="str">
            <v>02</v>
          </cell>
          <cell r="E587" t="str">
            <v>795 25 00</v>
          </cell>
          <cell r="F587" t="str">
            <v>000</v>
          </cell>
        </row>
        <row r="588">
          <cell r="B588" t="str">
            <v>902</v>
          </cell>
          <cell r="C588" t="str">
            <v>05</v>
          </cell>
          <cell r="D588" t="str">
            <v>02</v>
          </cell>
          <cell r="E588" t="str">
            <v>795 25 00</v>
          </cell>
          <cell r="F588" t="str">
            <v>500</v>
          </cell>
        </row>
        <row r="589">
          <cell r="A589" t="str">
            <v>Услуги по содержанию имущества </v>
          </cell>
          <cell r="B589" t="str">
            <v>902</v>
          </cell>
          <cell r="C589" t="str">
            <v>05</v>
          </cell>
          <cell r="D589" t="str">
            <v>02</v>
          </cell>
          <cell r="E589" t="str">
            <v>795 25 00</v>
          </cell>
          <cell r="F589" t="str">
            <v>500</v>
          </cell>
        </row>
        <row r="590">
          <cell r="A590" t="str">
            <v>Услуги по содержанию имущества </v>
          </cell>
          <cell r="B590" t="str">
            <v>903</v>
          </cell>
          <cell r="C590" t="str">
            <v>05</v>
          </cell>
          <cell r="D590" t="str">
            <v>02</v>
          </cell>
          <cell r="E590" t="str">
            <v>795 25 00</v>
          </cell>
          <cell r="F590" t="str">
            <v>500</v>
          </cell>
        </row>
        <row r="591">
          <cell r="A591" t="str">
            <v>Услуги по содержанию имущества </v>
          </cell>
          <cell r="B591" t="str">
            <v>904</v>
          </cell>
          <cell r="C591" t="str">
            <v>05</v>
          </cell>
          <cell r="D591" t="str">
            <v>02</v>
          </cell>
          <cell r="E591" t="str">
            <v>795 25 00</v>
          </cell>
          <cell r="F591" t="str">
            <v>500</v>
          </cell>
        </row>
        <row r="592">
          <cell r="B592" t="str">
            <v>905</v>
          </cell>
          <cell r="C592" t="str">
            <v>05</v>
          </cell>
          <cell r="D592" t="str">
            <v>02</v>
          </cell>
          <cell r="E592" t="str">
            <v>795 25 00</v>
          </cell>
          <cell r="F592" t="str">
            <v>500</v>
          </cell>
        </row>
        <row r="593">
          <cell r="B593" t="str">
            <v>905</v>
          </cell>
          <cell r="C593" t="str">
            <v>05</v>
          </cell>
          <cell r="D593" t="str">
            <v>02</v>
          </cell>
          <cell r="E593" t="str">
            <v>795 25 00</v>
          </cell>
          <cell r="F593" t="str">
            <v>500</v>
          </cell>
        </row>
        <row r="594">
          <cell r="A594" t="str">
            <v>Прочие услуги</v>
          </cell>
          <cell r="B594" t="str">
            <v>902</v>
          </cell>
          <cell r="C594" t="str">
            <v>05</v>
          </cell>
          <cell r="D594" t="str">
            <v>02</v>
          </cell>
          <cell r="E594" t="str">
            <v>795 26 00</v>
          </cell>
          <cell r="F594" t="str">
            <v>500</v>
          </cell>
        </row>
        <row r="595">
          <cell r="A595" t="str">
            <v>Услуги по содержанию имущества </v>
          </cell>
          <cell r="B595" t="str">
            <v>902</v>
          </cell>
          <cell r="C595" t="str">
            <v>05</v>
          </cell>
          <cell r="D595" t="str">
            <v>02</v>
          </cell>
          <cell r="E595" t="str">
            <v>795 00 00</v>
          </cell>
          <cell r="F595" t="str">
            <v>500</v>
          </cell>
        </row>
        <row r="596">
          <cell r="A596" t="str">
            <v>Услуги по содержанию имущества </v>
          </cell>
          <cell r="B596" t="str">
            <v>902</v>
          </cell>
          <cell r="C596" t="str">
            <v>05</v>
          </cell>
          <cell r="D596" t="str">
            <v>02</v>
          </cell>
          <cell r="E596" t="str">
            <v>795 00 00</v>
          </cell>
          <cell r="F596" t="str">
            <v>500</v>
          </cell>
        </row>
        <row r="597">
          <cell r="A597" t="str">
            <v>Прочие расходы </v>
          </cell>
          <cell r="B597" t="str">
            <v>902</v>
          </cell>
          <cell r="C597" t="str">
            <v>05</v>
          </cell>
          <cell r="D597" t="str">
            <v>02</v>
          </cell>
          <cell r="E597" t="str">
            <v>795 00 00</v>
          </cell>
          <cell r="F597" t="str">
            <v>500</v>
          </cell>
        </row>
        <row r="598">
          <cell r="A598" t="str">
            <v>Прочие расходы </v>
          </cell>
          <cell r="B598" t="str">
            <v>902</v>
          </cell>
          <cell r="C598" t="str">
            <v>05</v>
          </cell>
          <cell r="D598" t="str">
            <v>02</v>
          </cell>
          <cell r="E598" t="str">
            <v>79500 00</v>
          </cell>
          <cell r="F598" t="str">
            <v>500</v>
          </cell>
        </row>
        <row r="599">
          <cell r="A599" t="str">
            <v>Поступление нефинансовых активов</v>
          </cell>
          <cell r="B599" t="str">
            <v>902</v>
          </cell>
          <cell r="C599" t="str">
            <v>05</v>
          </cell>
          <cell r="D599" t="str">
            <v>02</v>
          </cell>
          <cell r="E599" t="str">
            <v>795 00 00</v>
          </cell>
          <cell r="F599" t="str">
            <v>500</v>
          </cell>
        </row>
        <row r="600">
          <cell r="A600" t="str">
            <v>Увеличение стоимости основных средств</v>
          </cell>
          <cell r="B600" t="str">
            <v>902</v>
          </cell>
          <cell r="C600" t="str">
            <v>05</v>
          </cell>
          <cell r="D600" t="str">
            <v>02</v>
          </cell>
          <cell r="E600" t="str">
            <v>795 00 00</v>
          </cell>
          <cell r="F600" t="str">
            <v>500</v>
          </cell>
        </row>
        <row r="601">
          <cell r="A601" t="str">
            <v>Жилищно- коммунальное хозяйство </v>
          </cell>
          <cell r="C601" t="str">
            <v>05</v>
          </cell>
          <cell r="D601" t="str">
            <v>00</v>
          </cell>
          <cell r="E601" t="str">
            <v>000 00 00</v>
          </cell>
          <cell r="F601" t="str">
            <v>000</v>
          </cell>
        </row>
        <row r="602">
          <cell r="A602" t="str">
            <v>Расходы</v>
          </cell>
          <cell r="C602" t="str">
            <v>05</v>
          </cell>
          <cell r="D602" t="str">
            <v>00</v>
          </cell>
          <cell r="E602" t="str">
            <v>000 00 00</v>
          </cell>
          <cell r="F602" t="str">
            <v>000</v>
          </cell>
        </row>
        <row r="603">
          <cell r="A603" t="str">
            <v>Оплата труда и начисления на оплату труда</v>
          </cell>
          <cell r="C603" t="str">
            <v>05</v>
          </cell>
          <cell r="D603" t="str">
            <v>00</v>
          </cell>
          <cell r="E603" t="str">
            <v>000 00 00</v>
          </cell>
          <cell r="F603" t="str">
            <v>000</v>
          </cell>
        </row>
        <row r="604">
          <cell r="A604" t="str">
            <v>Заработная плата</v>
          </cell>
          <cell r="C604" t="str">
            <v>05</v>
          </cell>
          <cell r="D604" t="str">
            <v>00</v>
          </cell>
          <cell r="E604" t="str">
            <v>000 00 00</v>
          </cell>
          <cell r="F604" t="str">
            <v>000</v>
          </cell>
        </row>
        <row r="605">
          <cell r="A605" t="str">
            <v>Прочие выплаты</v>
          </cell>
          <cell r="C605" t="str">
            <v>05</v>
          </cell>
          <cell r="D605" t="str">
            <v>00</v>
          </cell>
          <cell r="E605" t="str">
            <v>000 00 00</v>
          </cell>
          <cell r="F605" t="str">
            <v>000</v>
          </cell>
        </row>
        <row r="606">
          <cell r="A606" t="str">
            <v>Начисление на оплату труда</v>
          </cell>
          <cell r="C606" t="str">
            <v>05</v>
          </cell>
          <cell r="D606" t="str">
            <v>00</v>
          </cell>
          <cell r="E606" t="str">
            <v>000 00 00</v>
          </cell>
          <cell r="F606" t="str">
            <v>000</v>
          </cell>
        </row>
        <row r="607">
          <cell r="A607" t="str">
            <v>Приобретение услуг</v>
          </cell>
          <cell r="C607" t="str">
            <v>05</v>
          </cell>
          <cell r="D607" t="str">
            <v>00</v>
          </cell>
          <cell r="E607" t="str">
            <v>000 00 00</v>
          </cell>
          <cell r="F607" t="str">
            <v>000</v>
          </cell>
        </row>
        <row r="608">
          <cell r="A608" t="str">
            <v>Услуги связи </v>
          </cell>
          <cell r="C608" t="str">
            <v>05</v>
          </cell>
          <cell r="D608" t="str">
            <v>00</v>
          </cell>
          <cell r="E608" t="str">
            <v>000 00 00</v>
          </cell>
          <cell r="F608" t="str">
            <v>000</v>
          </cell>
        </row>
        <row r="609">
          <cell r="A609" t="str">
            <v>Транспортные услуги</v>
          </cell>
          <cell r="C609" t="str">
            <v>05</v>
          </cell>
          <cell r="D609" t="str">
            <v>00</v>
          </cell>
          <cell r="E609" t="str">
            <v>000 00 00</v>
          </cell>
          <cell r="F609" t="str">
            <v>000</v>
          </cell>
        </row>
        <row r="610">
          <cell r="A610" t="str">
            <v>Коммунальные услуги</v>
          </cell>
          <cell r="C610" t="str">
            <v>05</v>
          </cell>
          <cell r="D610" t="str">
            <v>00</v>
          </cell>
          <cell r="E610" t="str">
            <v>000 00 00</v>
          </cell>
          <cell r="F610" t="str">
            <v>000</v>
          </cell>
        </row>
        <row r="611">
          <cell r="A611" t="str">
            <v>Арендная плата за пользование иммуществом </v>
          </cell>
          <cell r="C611" t="str">
            <v>05</v>
          </cell>
          <cell r="D611" t="str">
            <v>00</v>
          </cell>
          <cell r="E611" t="str">
            <v>000 00 00</v>
          </cell>
          <cell r="F611" t="str">
            <v>000</v>
          </cell>
        </row>
        <row r="612">
          <cell r="A612" t="str">
            <v>Услуги по содержанию иммущества</v>
          </cell>
          <cell r="C612" t="str">
            <v>05</v>
          </cell>
          <cell r="D612" t="str">
            <v>00</v>
          </cell>
          <cell r="E612" t="str">
            <v>000 00 00</v>
          </cell>
          <cell r="F612" t="str">
            <v>000</v>
          </cell>
        </row>
        <row r="613">
          <cell r="A613" t="str">
            <v>Прочие услуги</v>
          </cell>
          <cell r="C613" t="str">
            <v>05</v>
          </cell>
          <cell r="D613" t="str">
            <v>00</v>
          </cell>
          <cell r="E613" t="str">
            <v>000 00 00</v>
          </cell>
          <cell r="F613" t="str">
            <v>000</v>
          </cell>
        </row>
        <row r="614">
          <cell r="A614" t="str">
            <v>Безвозмездные и безвозвратные перечисления  организациям </v>
          </cell>
          <cell r="C614" t="str">
            <v>05</v>
          </cell>
          <cell r="D614" t="str">
            <v>00</v>
          </cell>
          <cell r="E614" t="str">
            <v>000 00 00</v>
          </cell>
          <cell r="F614" t="str">
            <v>000</v>
          </cell>
        </row>
        <row r="615">
          <cell r="A615" t="str">
            <v>Безвозмездные и безвозвратные перечисления организациям, за исключением государственных и муниципальных организаций</v>
          </cell>
          <cell r="C615" t="str">
            <v>05</v>
          </cell>
          <cell r="D615" t="str">
            <v>00</v>
          </cell>
          <cell r="E615" t="str">
            <v>000 00 00</v>
          </cell>
          <cell r="F615" t="str">
            <v>000</v>
          </cell>
        </row>
        <row r="616">
          <cell r="A616" t="str">
            <v>Прочие расходы</v>
          </cell>
          <cell r="C616" t="str">
            <v>05</v>
          </cell>
          <cell r="D616" t="str">
            <v>00</v>
          </cell>
          <cell r="E616" t="str">
            <v>000 00 00</v>
          </cell>
          <cell r="F616" t="str">
            <v>000</v>
          </cell>
        </row>
        <row r="617">
          <cell r="A617" t="str">
            <v>Поступление нефинансовых активов</v>
          </cell>
          <cell r="C617" t="str">
            <v>05</v>
          </cell>
          <cell r="D617" t="str">
            <v>00</v>
          </cell>
          <cell r="E617" t="str">
            <v>000 00 00</v>
          </cell>
          <cell r="F617" t="str">
            <v>000</v>
          </cell>
        </row>
        <row r="618">
          <cell r="A618" t="str">
            <v>Увеличение стоимости основных средств</v>
          </cell>
          <cell r="C618" t="str">
            <v>05</v>
          </cell>
          <cell r="D618" t="str">
            <v>00</v>
          </cell>
          <cell r="E618" t="str">
            <v>000 00 00</v>
          </cell>
          <cell r="F618" t="str">
            <v>000</v>
          </cell>
        </row>
        <row r="619">
          <cell r="A619" t="str">
            <v>Увеличение стоимости материальных запасов</v>
          </cell>
          <cell r="C619" t="str">
            <v>05</v>
          </cell>
          <cell r="D619" t="str">
            <v>00</v>
          </cell>
          <cell r="E619" t="str">
            <v>000 00 00</v>
          </cell>
          <cell r="F619" t="str">
            <v>000</v>
          </cell>
        </row>
        <row r="620">
          <cell r="A620" t="str">
            <v>ИТОГО:</v>
          </cell>
          <cell r="C620" t="str">
            <v>05</v>
          </cell>
          <cell r="D620" t="str">
            <v>00</v>
          </cell>
          <cell r="E620" t="str">
            <v>000 00 00</v>
          </cell>
          <cell r="F620" t="str">
            <v>000</v>
          </cell>
        </row>
        <row r="621">
          <cell r="A621" t="str">
            <v>Выполнение функций органами местного самоуправления</v>
          </cell>
          <cell r="B621" t="str">
            <v>902</v>
          </cell>
          <cell r="C621" t="str">
            <v>05</v>
          </cell>
          <cell r="D621" t="str">
            <v>02</v>
          </cell>
          <cell r="E621" t="str">
            <v>795 25 00</v>
          </cell>
          <cell r="F621" t="str">
            <v>500</v>
          </cell>
        </row>
        <row r="622">
          <cell r="A622" t="str">
            <v>Выполнение функций органами местного самоуправления</v>
          </cell>
          <cell r="B622" t="str">
            <v>903</v>
          </cell>
          <cell r="C622" t="str">
            <v>05</v>
          </cell>
          <cell r="D622" t="str">
            <v>02</v>
          </cell>
          <cell r="E622" t="str">
            <v>795 25 00</v>
          </cell>
          <cell r="F622" t="str">
            <v>500</v>
          </cell>
        </row>
        <row r="623">
          <cell r="A623" t="str">
            <v>"Модернизация объектов  коммунальной инфраструктуры"</v>
          </cell>
          <cell r="B623" t="str">
            <v>902</v>
          </cell>
          <cell r="C623" t="str">
            <v>05</v>
          </cell>
          <cell r="D623" t="str">
            <v>02</v>
          </cell>
          <cell r="E623" t="str">
            <v>795 26  00</v>
          </cell>
          <cell r="F623" t="str">
            <v>000</v>
          </cell>
        </row>
        <row r="624">
          <cell r="A624" t="str">
            <v>Выполнение функций органами местного самоуправления</v>
          </cell>
          <cell r="B624" t="str">
            <v>902</v>
          </cell>
          <cell r="C624" t="str">
            <v>05</v>
          </cell>
          <cell r="D624" t="str">
            <v>02</v>
          </cell>
          <cell r="E624" t="str">
            <v>795 26  00</v>
          </cell>
          <cell r="F624" t="str">
            <v>500</v>
          </cell>
        </row>
        <row r="625">
          <cell r="A625" t="str">
            <v>Долгосрочная целевая программа «Энергосбережение и повышение энергетической эффективности на территории Иркутской области на 2011-2015 годы и на период до 2020 года»</v>
          </cell>
          <cell r="B625" t="str">
            <v>902</v>
          </cell>
          <cell r="C625" t="str">
            <v>05</v>
          </cell>
          <cell r="D625" t="str">
            <v>02</v>
          </cell>
          <cell r="E625" t="str">
            <v>522 54 00</v>
          </cell>
          <cell r="F625" t="str">
            <v>000</v>
          </cell>
        </row>
        <row r="626">
          <cell r="A626" t="str">
            <v>Фонд софинансирования</v>
          </cell>
          <cell r="B626" t="str">
            <v>902</v>
          </cell>
          <cell r="C626" t="str">
            <v>05</v>
          </cell>
          <cell r="D626" t="str">
            <v>02</v>
          </cell>
          <cell r="E626" t="str">
            <v>522 54 00</v>
          </cell>
          <cell r="F626" t="str">
            <v>010</v>
          </cell>
        </row>
        <row r="627">
          <cell r="A627" t="str">
            <v>Образование</v>
          </cell>
          <cell r="C627" t="str">
            <v>07</v>
          </cell>
          <cell r="D627" t="str">
            <v>00</v>
          </cell>
          <cell r="E627" t="str">
            <v>000 00 00 </v>
          </cell>
          <cell r="F627" t="str">
            <v>000</v>
          </cell>
        </row>
        <row r="628">
          <cell r="A628" t="str">
            <v>Дошкольное образование</v>
          </cell>
          <cell r="B628" t="str">
            <v>903</v>
          </cell>
          <cell r="C628" t="str">
            <v>07</v>
          </cell>
          <cell r="D628" t="str">
            <v>01</v>
          </cell>
          <cell r="E628" t="str">
            <v>000 00 00</v>
          </cell>
          <cell r="F628" t="str">
            <v>000</v>
          </cell>
        </row>
        <row r="629">
          <cell r="A629" t="str">
            <v>Детские дошкольные учреждения</v>
          </cell>
          <cell r="B629" t="str">
            <v>903</v>
          </cell>
          <cell r="C629" t="str">
            <v>07</v>
          </cell>
          <cell r="D629" t="str">
            <v>01</v>
          </cell>
          <cell r="E629" t="str">
            <v>420 00 00</v>
          </cell>
          <cell r="F629" t="str">
            <v>000</v>
          </cell>
        </row>
        <row r="630">
          <cell r="A630" t="str">
            <v>Обеспечение деятельности подведомственных учреждений</v>
          </cell>
          <cell r="B630" t="str">
            <v>903</v>
          </cell>
          <cell r="C630" t="str">
            <v>07</v>
          </cell>
          <cell r="D630" t="str">
            <v>01</v>
          </cell>
          <cell r="E630" t="str">
            <v>420 99 00</v>
          </cell>
          <cell r="F630" t="str">
            <v>000</v>
          </cell>
        </row>
        <row r="631">
          <cell r="A631" t="str">
            <v>Выполнение функций бюджетными учреждениями</v>
          </cell>
          <cell r="B631" t="str">
            <v>903</v>
          </cell>
          <cell r="C631" t="str">
            <v>07</v>
          </cell>
          <cell r="D631" t="str">
            <v>01</v>
          </cell>
          <cell r="E631" t="str">
            <v>420 99 00</v>
          </cell>
          <cell r="F631" t="str">
            <v>001</v>
          </cell>
        </row>
        <row r="632">
          <cell r="A632" t="str">
            <v>Расходы</v>
          </cell>
          <cell r="B632" t="str">
            <v>903</v>
          </cell>
          <cell r="C632" t="str">
            <v>07</v>
          </cell>
          <cell r="D632" t="str">
            <v>01</v>
          </cell>
          <cell r="E632" t="str">
            <v>420 99 00</v>
          </cell>
          <cell r="F632" t="str">
            <v>001</v>
          </cell>
        </row>
        <row r="633">
          <cell r="A633" t="str">
            <v>Оплата труда и начисления на оплату труда</v>
          </cell>
          <cell r="B633" t="str">
            <v>903</v>
          </cell>
          <cell r="C633" t="str">
            <v>07</v>
          </cell>
          <cell r="D633" t="str">
            <v>01</v>
          </cell>
          <cell r="E633" t="str">
            <v>420 99 00</v>
          </cell>
          <cell r="F633" t="str">
            <v>001</v>
          </cell>
        </row>
        <row r="634">
          <cell r="A634" t="str">
            <v>Заработная плата</v>
          </cell>
          <cell r="B634" t="str">
            <v>903</v>
          </cell>
          <cell r="C634" t="str">
            <v>07</v>
          </cell>
          <cell r="D634" t="str">
            <v>01</v>
          </cell>
          <cell r="E634" t="str">
            <v>420 99 00</v>
          </cell>
          <cell r="F634" t="str">
            <v>001</v>
          </cell>
        </row>
        <row r="635">
          <cell r="A635" t="str">
            <v>Прочие выплаты</v>
          </cell>
          <cell r="B635" t="str">
            <v>903</v>
          </cell>
          <cell r="C635" t="str">
            <v>07</v>
          </cell>
          <cell r="D635" t="str">
            <v>01</v>
          </cell>
          <cell r="E635" t="str">
            <v>420 99 00</v>
          </cell>
          <cell r="F635" t="str">
            <v>001</v>
          </cell>
        </row>
        <row r="636">
          <cell r="A636" t="str">
            <v>льготы  пед работникам 8.01.10.00</v>
          </cell>
          <cell r="B636" t="str">
            <v>903</v>
          </cell>
          <cell r="C636" t="str">
            <v>07</v>
          </cell>
          <cell r="D636" t="str">
            <v>01</v>
          </cell>
          <cell r="E636" t="str">
            <v>420 99 00</v>
          </cell>
          <cell r="F636" t="str">
            <v>001</v>
          </cell>
        </row>
        <row r="637">
          <cell r="A637" t="str">
            <v>Начисление на оплату труда</v>
          </cell>
          <cell r="B637" t="str">
            <v>903</v>
          </cell>
          <cell r="C637" t="str">
            <v>07</v>
          </cell>
          <cell r="D637" t="str">
            <v>01</v>
          </cell>
          <cell r="E637" t="str">
            <v>420 99 00</v>
          </cell>
          <cell r="F637" t="str">
            <v>001</v>
          </cell>
        </row>
        <row r="638">
          <cell r="A638" t="str">
            <v>Приобретение услуг</v>
          </cell>
          <cell r="B638" t="str">
            <v>903</v>
          </cell>
          <cell r="C638" t="str">
            <v>07</v>
          </cell>
          <cell r="D638" t="str">
            <v>01</v>
          </cell>
          <cell r="E638" t="str">
            <v>420 99 00</v>
          </cell>
          <cell r="F638" t="str">
            <v>001</v>
          </cell>
        </row>
        <row r="639">
          <cell r="A639" t="str">
            <v>Услуги связи </v>
          </cell>
          <cell r="B639" t="str">
            <v>903</v>
          </cell>
          <cell r="C639" t="str">
            <v>07</v>
          </cell>
          <cell r="D639" t="str">
            <v>01</v>
          </cell>
          <cell r="E639" t="str">
            <v>420 99 00</v>
          </cell>
          <cell r="F639" t="str">
            <v>001</v>
          </cell>
        </row>
        <row r="640">
          <cell r="A640" t="str">
            <v>Транспортные услуги</v>
          </cell>
          <cell r="B640" t="str">
            <v>903</v>
          </cell>
          <cell r="C640" t="str">
            <v>07</v>
          </cell>
          <cell r="D640" t="str">
            <v>01</v>
          </cell>
          <cell r="E640" t="str">
            <v>420 99 00</v>
          </cell>
          <cell r="F640" t="str">
            <v>001</v>
          </cell>
        </row>
        <row r="641">
          <cell r="A641" t="str">
            <v>Коммунальные услуги</v>
          </cell>
          <cell r="B641" t="str">
            <v>903</v>
          </cell>
          <cell r="C641" t="str">
            <v>07</v>
          </cell>
          <cell r="D641" t="str">
            <v>01</v>
          </cell>
          <cell r="E641" t="str">
            <v>420 99 00</v>
          </cell>
          <cell r="F641" t="str">
            <v>001</v>
          </cell>
        </row>
        <row r="642">
          <cell r="A642" t="str">
            <v>Арендная плата за пользование иммуществом </v>
          </cell>
          <cell r="B642" t="str">
            <v>903</v>
          </cell>
          <cell r="C642" t="str">
            <v>07</v>
          </cell>
          <cell r="D642" t="str">
            <v>01</v>
          </cell>
          <cell r="E642" t="str">
            <v>420 99 00</v>
          </cell>
          <cell r="F642" t="str">
            <v>001</v>
          </cell>
        </row>
        <row r="643">
          <cell r="A643" t="str">
            <v>Услуги по содержанию иммущества</v>
          </cell>
          <cell r="B643" t="str">
            <v>903</v>
          </cell>
          <cell r="C643" t="str">
            <v>07</v>
          </cell>
          <cell r="D643" t="str">
            <v>01</v>
          </cell>
          <cell r="E643" t="str">
            <v>420 99 00</v>
          </cell>
          <cell r="F643" t="str">
            <v>001</v>
          </cell>
        </row>
        <row r="644">
          <cell r="A644" t="str">
            <v>Услуги по содержанию иммущества 8.40.00</v>
          </cell>
          <cell r="B644" t="str">
            <v>903</v>
          </cell>
          <cell r="C644" t="str">
            <v>07</v>
          </cell>
          <cell r="D644" t="str">
            <v>01</v>
          </cell>
          <cell r="E644" t="str">
            <v>420 99 00</v>
          </cell>
          <cell r="F644" t="str">
            <v>001</v>
          </cell>
        </row>
        <row r="645">
          <cell r="A645" t="str">
            <v>Услуги по содержанию иммущества 8.40.01</v>
          </cell>
          <cell r="B645" t="str">
            <v>903</v>
          </cell>
          <cell r="C645" t="str">
            <v>07</v>
          </cell>
          <cell r="D645" t="str">
            <v>01</v>
          </cell>
          <cell r="E645" t="str">
            <v>420 99 00</v>
          </cell>
          <cell r="F645" t="str">
            <v>001</v>
          </cell>
        </row>
        <row r="646">
          <cell r="A646" t="str">
            <v>8,40,02</v>
          </cell>
          <cell r="B646" t="str">
            <v>903</v>
          </cell>
          <cell r="C646" t="str">
            <v>07</v>
          </cell>
          <cell r="D646" t="str">
            <v>01</v>
          </cell>
          <cell r="E646" t="str">
            <v>420 99 00</v>
          </cell>
          <cell r="F646" t="str">
            <v>001</v>
          </cell>
        </row>
        <row r="647">
          <cell r="A647" t="str">
            <v>Услуги по содержанию иммущества   8.40.01 Кап ремонты</v>
          </cell>
          <cell r="B647" t="str">
            <v>903</v>
          </cell>
          <cell r="C647" t="str">
            <v>07</v>
          </cell>
          <cell r="D647" t="str">
            <v>01</v>
          </cell>
          <cell r="E647" t="str">
            <v>420 99 00</v>
          </cell>
          <cell r="F647" t="str">
            <v>001</v>
          </cell>
        </row>
        <row r="648">
          <cell r="A648" t="str">
            <v>Услуги по содержанию иммущества   8.40.02 Кап ремонты</v>
          </cell>
          <cell r="B648" t="str">
            <v>903</v>
          </cell>
          <cell r="C648" t="str">
            <v>07</v>
          </cell>
          <cell r="D648" t="str">
            <v>01</v>
          </cell>
          <cell r="E648" t="str">
            <v>420 99 00</v>
          </cell>
          <cell r="F648" t="str">
            <v>001</v>
          </cell>
        </row>
        <row r="649">
          <cell r="A649" t="str">
            <v>Прочие услуги</v>
          </cell>
          <cell r="B649" t="str">
            <v>903</v>
          </cell>
          <cell r="C649" t="str">
            <v>07</v>
          </cell>
          <cell r="D649" t="str">
            <v>01</v>
          </cell>
          <cell r="E649" t="str">
            <v>420 99 00</v>
          </cell>
          <cell r="F649" t="str">
            <v>001</v>
          </cell>
        </row>
        <row r="650">
          <cell r="A650" t="str">
            <v>Социальное обеспечение</v>
          </cell>
          <cell r="B650" t="str">
            <v>903</v>
          </cell>
          <cell r="C650" t="str">
            <v>07</v>
          </cell>
          <cell r="D650" t="str">
            <v>01</v>
          </cell>
          <cell r="E650" t="str">
            <v>420 99 00</v>
          </cell>
          <cell r="F650" t="str">
            <v>001</v>
          </cell>
        </row>
        <row r="651">
          <cell r="A651" t="str">
            <v>Пособия по социальной помощи населению</v>
          </cell>
          <cell r="B651" t="str">
            <v>903</v>
          </cell>
          <cell r="C651" t="str">
            <v>07</v>
          </cell>
          <cell r="D651" t="str">
            <v>01</v>
          </cell>
          <cell r="E651" t="str">
            <v>420 99 00</v>
          </cell>
          <cell r="F651" t="str">
            <v>001</v>
          </cell>
        </row>
        <row r="652">
          <cell r="A652" t="str">
            <v>Прочие расходы </v>
          </cell>
          <cell r="B652" t="str">
            <v>903</v>
          </cell>
          <cell r="C652" t="str">
            <v>07</v>
          </cell>
          <cell r="D652" t="str">
            <v>01</v>
          </cell>
          <cell r="E652" t="str">
            <v>420 99 00</v>
          </cell>
          <cell r="F652" t="str">
            <v>001</v>
          </cell>
        </row>
        <row r="653">
          <cell r="A653" t="str">
            <v>Поступление нефинансовых активов</v>
          </cell>
          <cell r="B653" t="str">
            <v>903</v>
          </cell>
          <cell r="C653" t="str">
            <v>07</v>
          </cell>
          <cell r="D653" t="str">
            <v>01</v>
          </cell>
          <cell r="E653" t="str">
            <v>420 99 00</v>
          </cell>
          <cell r="F653" t="str">
            <v>001</v>
          </cell>
        </row>
        <row r="654">
          <cell r="A654" t="str">
            <v>Увеличение стоимости основных средств</v>
          </cell>
          <cell r="B654" t="str">
            <v>903</v>
          </cell>
          <cell r="C654" t="str">
            <v>07</v>
          </cell>
          <cell r="D654" t="str">
            <v>01</v>
          </cell>
          <cell r="E654" t="str">
            <v>420 99 00</v>
          </cell>
          <cell r="F654" t="str">
            <v>001</v>
          </cell>
        </row>
        <row r="655">
          <cell r="A655" t="str">
            <v>8,40,02</v>
          </cell>
          <cell r="B655" t="str">
            <v>903</v>
          </cell>
          <cell r="C655" t="str">
            <v>07</v>
          </cell>
          <cell r="D655" t="str">
            <v>01</v>
          </cell>
          <cell r="E655" t="str">
            <v>420 99 00</v>
          </cell>
          <cell r="F655" t="str">
            <v>001</v>
          </cell>
        </row>
        <row r="656">
          <cell r="A656" t="str">
            <v>Увеличение стоимости материальных запасов</v>
          </cell>
          <cell r="B656" t="str">
            <v>903</v>
          </cell>
          <cell r="C656" t="str">
            <v>07</v>
          </cell>
          <cell r="D656" t="str">
            <v>01</v>
          </cell>
          <cell r="E656" t="str">
            <v>420 99 00</v>
          </cell>
          <cell r="F656" t="str">
            <v>001</v>
          </cell>
        </row>
        <row r="657">
          <cell r="A657" t="str">
            <v>8,40,02</v>
          </cell>
          <cell r="B657" t="str">
            <v>903</v>
          </cell>
          <cell r="C657" t="str">
            <v>07</v>
          </cell>
          <cell r="D657" t="str">
            <v>01</v>
          </cell>
          <cell r="E657" t="str">
            <v>420 99 00</v>
          </cell>
          <cell r="F657" t="str">
            <v>001</v>
          </cell>
        </row>
        <row r="658">
          <cell r="A658" t="str">
            <v>Субсидии некоммерческим организациям</v>
          </cell>
          <cell r="B658" t="str">
            <v>903</v>
          </cell>
          <cell r="C658" t="str">
            <v>07</v>
          </cell>
          <cell r="D658" t="str">
            <v>01</v>
          </cell>
          <cell r="E658" t="str">
            <v>420 99 00</v>
          </cell>
          <cell r="F658" t="str">
            <v>019</v>
          </cell>
        </row>
        <row r="659">
          <cell r="A659" t="str">
            <v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</v>
          </cell>
          <cell r="B659" t="str">
            <v>903</v>
          </cell>
          <cell r="C659" t="str">
            <v>07</v>
          </cell>
          <cell r="D659" t="str">
            <v>01</v>
          </cell>
          <cell r="E659" t="str">
            <v>589 00 00</v>
          </cell>
          <cell r="F659" t="str">
            <v>000</v>
          </cell>
        </row>
        <row r="660">
          <cell r="A660" t="str">
            <v>Выполнение функций бюджетными учреждениями</v>
          </cell>
          <cell r="B660" t="str">
            <v>903</v>
          </cell>
          <cell r="C660" t="str">
            <v>07</v>
          </cell>
          <cell r="D660" t="str">
            <v>01</v>
          </cell>
          <cell r="E660" t="str">
            <v>589 00 00</v>
          </cell>
          <cell r="F660" t="str">
            <v>001</v>
          </cell>
        </row>
        <row r="661">
          <cell r="A661" t="str">
            <v>Субсидии некоммерческим организациям</v>
          </cell>
          <cell r="B661" t="str">
            <v>903</v>
          </cell>
          <cell r="C661" t="str">
            <v>07</v>
          </cell>
          <cell r="D661" t="str">
            <v>01</v>
          </cell>
          <cell r="E661" t="str">
            <v>589 00 00</v>
          </cell>
          <cell r="F661" t="str">
            <v>019</v>
          </cell>
        </row>
        <row r="662">
          <cell r="B662" t="str">
            <v>903</v>
          </cell>
          <cell r="C662" t="str">
            <v>07</v>
          </cell>
          <cell r="D662" t="str">
            <v>01</v>
          </cell>
          <cell r="E662" t="str">
            <v>589 00 00</v>
          </cell>
        </row>
        <row r="663">
          <cell r="B663" t="str">
            <v>903</v>
          </cell>
          <cell r="C663" t="str">
            <v>07</v>
          </cell>
          <cell r="D663" t="str">
            <v>01</v>
          </cell>
          <cell r="E663" t="str">
            <v>589 00 00</v>
          </cell>
        </row>
        <row r="664">
          <cell r="A664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664" t="str">
            <v>903</v>
          </cell>
          <cell r="C664" t="str">
            <v>07</v>
          </cell>
          <cell r="D664" t="str">
            <v>01</v>
          </cell>
          <cell r="E664" t="str">
            <v>590 00 00</v>
          </cell>
          <cell r="F664" t="str">
            <v>000</v>
          </cell>
        </row>
        <row r="665">
          <cell r="A665" t="str">
            <v>Выполнение функций бюджетными учреждениями</v>
          </cell>
          <cell r="B665" t="str">
            <v>903</v>
          </cell>
          <cell r="C665" t="str">
            <v>07</v>
          </cell>
          <cell r="D665" t="str">
            <v>01</v>
          </cell>
          <cell r="E665" t="str">
            <v>590 00 00</v>
          </cell>
          <cell r="F665" t="str">
            <v>001</v>
          </cell>
        </row>
        <row r="666">
          <cell r="A666" t="str">
            <v>Субсидии некоммерческим организациям</v>
          </cell>
          <cell r="B666" t="str">
            <v>903</v>
          </cell>
          <cell r="C666" t="str">
            <v>07</v>
          </cell>
          <cell r="D666" t="str">
            <v>01</v>
          </cell>
          <cell r="E666" t="str">
            <v>590 00 00</v>
          </cell>
          <cell r="F666" t="str">
            <v>019</v>
          </cell>
        </row>
        <row r="667">
          <cell r="A667" t="str">
            <v>Погашение просроченной кредиторской задолженности по состоянию на 1 апреля 2012 года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</v>
          </cell>
          <cell r="B667" t="str">
            <v>903</v>
          </cell>
          <cell r="C667" t="str">
            <v>07</v>
          </cell>
          <cell r="D667" t="str">
            <v>01</v>
          </cell>
          <cell r="E667" t="str">
            <v>594 00 00</v>
          </cell>
          <cell r="F667" t="str">
            <v>000</v>
          </cell>
        </row>
        <row r="668">
          <cell r="A668" t="str">
            <v>Субсидии некоммерческим организациям</v>
          </cell>
          <cell r="B668" t="str">
            <v>903</v>
          </cell>
          <cell r="C668" t="str">
            <v>07</v>
          </cell>
          <cell r="D668" t="str">
            <v>01</v>
          </cell>
          <cell r="E668" t="str">
            <v>594 00 00</v>
          </cell>
          <cell r="F668" t="str">
            <v>019</v>
          </cell>
        </row>
        <row r="669">
          <cell r="A669" t="str">
            <v>Общее образование</v>
          </cell>
          <cell r="C669" t="str">
            <v>07</v>
          </cell>
          <cell r="D669" t="str">
            <v>02</v>
          </cell>
          <cell r="E669" t="str">
            <v>000 00 00</v>
          </cell>
          <cell r="F669" t="str">
            <v>000</v>
          </cell>
        </row>
        <row r="670">
          <cell r="A670" t="str">
            <v>Школы-детские сады, школы начальные, неполные средние и средние</v>
          </cell>
          <cell r="B670" t="str">
            <v>903</v>
          </cell>
          <cell r="C670" t="str">
            <v>07</v>
          </cell>
          <cell r="D670" t="str">
            <v>02</v>
          </cell>
          <cell r="E670" t="str">
            <v>421 00 00</v>
          </cell>
          <cell r="F670" t="str">
            <v>000</v>
          </cell>
        </row>
        <row r="671">
          <cell r="A671" t="str">
            <v>Обеспечение деятельности подведомственных учреждений</v>
          </cell>
          <cell r="B671" t="str">
            <v>903</v>
          </cell>
          <cell r="C671" t="str">
            <v>07</v>
          </cell>
          <cell r="D671" t="str">
            <v>02</v>
          </cell>
          <cell r="E671" t="str">
            <v>421 99 00</v>
          </cell>
          <cell r="F671" t="str">
            <v>000</v>
          </cell>
        </row>
        <row r="672">
          <cell r="A672" t="str">
            <v>Выполнение функций бюджетными учреждениями</v>
          </cell>
          <cell r="B672" t="str">
            <v>903</v>
          </cell>
          <cell r="C672" t="str">
            <v>07</v>
          </cell>
          <cell r="D672" t="str">
            <v>02</v>
          </cell>
          <cell r="E672" t="str">
            <v>421 99 00</v>
          </cell>
          <cell r="F672" t="str">
            <v>001</v>
          </cell>
        </row>
        <row r="673">
          <cell r="A673" t="str">
            <v>Расходы</v>
          </cell>
          <cell r="B673" t="str">
            <v>903</v>
          </cell>
          <cell r="C673" t="str">
            <v>07</v>
          </cell>
          <cell r="D673" t="str">
            <v>02</v>
          </cell>
          <cell r="E673" t="str">
            <v>421 99 00</v>
          </cell>
          <cell r="F673" t="str">
            <v>001</v>
          </cell>
        </row>
        <row r="674">
          <cell r="A674" t="str">
            <v>Оплата труда и начисления на оплату труда</v>
          </cell>
          <cell r="B674" t="str">
            <v>903</v>
          </cell>
          <cell r="C674" t="str">
            <v>07</v>
          </cell>
          <cell r="D674" t="str">
            <v>02</v>
          </cell>
          <cell r="E674" t="str">
            <v>421 99 00</v>
          </cell>
          <cell r="F674" t="str">
            <v>001</v>
          </cell>
        </row>
        <row r="675">
          <cell r="A675" t="str">
            <v>Заработная плата</v>
          </cell>
          <cell r="B675" t="str">
            <v>903</v>
          </cell>
          <cell r="C675" t="str">
            <v>07</v>
          </cell>
          <cell r="D675" t="str">
            <v>02</v>
          </cell>
          <cell r="E675" t="str">
            <v>421 99 00</v>
          </cell>
          <cell r="F675" t="str">
            <v>001</v>
          </cell>
        </row>
        <row r="676">
          <cell r="A676" t="str">
            <v>Заработная плата 8.08.00</v>
          </cell>
          <cell r="B676" t="str">
            <v>903</v>
          </cell>
          <cell r="C676" t="str">
            <v>07</v>
          </cell>
          <cell r="D676" t="str">
            <v>02</v>
          </cell>
          <cell r="E676" t="str">
            <v>421 99 00</v>
          </cell>
          <cell r="F676" t="str">
            <v>001</v>
          </cell>
        </row>
        <row r="677">
          <cell r="A677" t="str">
            <v>Прочие выплаты</v>
          </cell>
          <cell r="B677" t="str">
            <v>903</v>
          </cell>
          <cell r="C677" t="str">
            <v>07</v>
          </cell>
          <cell r="D677" t="str">
            <v>02</v>
          </cell>
          <cell r="E677" t="str">
            <v>421 99 00</v>
          </cell>
          <cell r="F677" t="str">
            <v>001</v>
          </cell>
        </row>
        <row r="678">
          <cell r="A678" t="str">
            <v>льготы  пед. работникам 8.01.10.00</v>
          </cell>
          <cell r="B678" t="str">
            <v>903</v>
          </cell>
          <cell r="C678" t="str">
            <v>07</v>
          </cell>
          <cell r="D678" t="str">
            <v>02</v>
          </cell>
          <cell r="E678" t="str">
            <v>421 99 00</v>
          </cell>
          <cell r="F678" t="str">
            <v>001</v>
          </cell>
        </row>
        <row r="679">
          <cell r="A679" t="str">
            <v>Начисление на оплату труда</v>
          </cell>
          <cell r="B679" t="str">
            <v>903</v>
          </cell>
          <cell r="C679" t="str">
            <v>07</v>
          </cell>
          <cell r="D679" t="str">
            <v>02</v>
          </cell>
          <cell r="E679" t="str">
            <v>421 99 00</v>
          </cell>
          <cell r="F679" t="str">
            <v>001</v>
          </cell>
        </row>
        <row r="680">
          <cell r="A680" t="str">
            <v>Начисление на оплату труда 8.08.00.00</v>
          </cell>
          <cell r="B680" t="str">
            <v>903</v>
          </cell>
          <cell r="C680" t="str">
            <v>07</v>
          </cell>
          <cell r="D680" t="str">
            <v>02</v>
          </cell>
          <cell r="E680" t="str">
            <v>421 99 00</v>
          </cell>
          <cell r="F680" t="str">
            <v>001</v>
          </cell>
        </row>
        <row r="681">
          <cell r="A681" t="str">
            <v>Приобретение услуг</v>
          </cell>
          <cell r="B681" t="str">
            <v>903</v>
          </cell>
          <cell r="C681" t="str">
            <v>07</v>
          </cell>
          <cell r="D681" t="str">
            <v>02</v>
          </cell>
          <cell r="E681" t="str">
            <v>421 99 00</v>
          </cell>
          <cell r="F681" t="str">
            <v>001</v>
          </cell>
        </row>
        <row r="682">
          <cell r="A682" t="str">
            <v>Услуги связи </v>
          </cell>
          <cell r="B682" t="str">
            <v>903</v>
          </cell>
          <cell r="C682" t="str">
            <v>07</v>
          </cell>
          <cell r="D682" t="str">
            <v>02</v>
          </cell>
          <cell r="E682" t="str">
            <v>421 99 00</v>
          </cell>
          <cell r="F682" t="str">
            <v>001</v>
          </cell>
        </row>
        <row r="683">
          <cell r="A683" t="str">
            <v>Услуги связи  8.05.00.00</v>
          </cell>
          <cell r="B683" t="str">
            <v>903</v>
          </cell>
          <cell r="C683" t="str">
            <v>07</v>
          </cell>
          <cell r="D683" t="str">
            <v>02</v>
          </cell>
          <cell r="E683" t="str">
            <v>421 99 00</v>
          </cell>
          <cell r="F683" t="str">
            <v>001</v>
          </cell>
        </row>
        <row r="684">
          <cell r="A684" t="str">
            <v>Транспортные услуги</v>
          </cell>
          <cell r="B684" t="str">
            <v>903</v>
          </cell>
          <cell r="C684" t="str">
            <v>07</v>
          </cell>
          <cell r="D684" t="str">
            <v>02</v>
          </cell>
          <cell r="E684" t="str">
            <v>421 99 00</v>
          </cell>
          <cell r="F684" t="str">
            <v>001</v>
          </cell>
        </row>
        <row r="685">
          <cell r="A685" t="str">
            <v>Коммунальные услуги</v>
          </cell>
          <cell r="B685" t="str">
            <v>903</v>
          </cell>
          <cell r="C685" t="str">
            <v>07</v>
          </cell>
          <cell r="D685" t="str">
            <v>02</v>
          </cell>
          <cell r="E685" t="str">
            <v>421 99 00</v>
          </cell>
          <cell r="F685" t="str">
            <v>001</v>
          </cell>
        </row>
        <row r="686">
          <cell r="A686" t="str">
            <v>Арендная плата за пользование иммуществом </v>
          </cell>
          <cell r="B686" t="str">
            <v>903</v>
          </cell>
          <cell r="C686" t="str">
            <v>07</v>
          </cell>
          <cell r="D686" t="str">
            <v>02</v>
          </cell>
          <cell r="E686" t="str">
            <v>421 99 00</v>
          </cell>
          <cell r="F686" t="str">
            <v>001</v>
          </cell>
        </row>
        <row r="687">
          <cell r="A687" t="str">
            <v>Услуги по содержанию иммущества</v>
          </cell>
          <cell r="B687" t="str">
            <v>903</v>
          </cell>
          <cell r="C687" t="str">
            <v>07</v>
          </cell>
          <cell r="D687" t="str">
            <v>02</v>
          </cell>
          <cell r="E687" t="str">
            <v>421 99 00</v>
          </cell>
          <cell r="F687" t="str">
            <v>001</v>
          </cell>
        </row>
        <row r="688">
          <cell r="A688" t="str">
            <v>Услуги по содержанию иммущества 8.40.00</v>
          </cell>
          <cell r="B688" t="str">
            <v>903</v>
          </cell>
          <cell r="C688" t="str">
            <v>07</v>
          </cell>
          <cell r="D688" t="str">
            <v>02</v>
          </cell>
          <cell r="E688" t="str">
            <v>421 99 00</v>
          </cell>
          <cell r="F688" t="str">
            <v>001</v>
          </cell>
        </row>
        <row r="689">
          <cell r="A689" t="str">
            <v>Услуги по содержанию иммущества 8.40.01</v>
          </cell>
          <cell r="B689" t="str">
            <v>903</v>
          </cell>
          <cell r="C689" t="str">
            <v>07</v>
          </cell>
          <cell r="D689" t="str">
            <v>02</v>
          </cell>
          <cell r="E689" t="str">
            <v>421 99 00</v>
          </cell>
          <cell r="F689" t="str">
            <v>001</v>
          </cell>
        </row>
        <row r="690">
          <cell r="A690" t="str">
            <v>Услуги по содержанию иммущества 8.40.02</v>
          </cell>
          <cell r="B690" t="str">
            <v>903</v>
          </cell>
          <cell r="C690" t="str">
            <v>07</v>
          </cell>
          <cell r="D690" t="str">
            <v>02</v>
          </cell>
          <cell r="E690" t="str">
            <v>421 99 00</v>
          </cell>
          <cell r="F690" t="str">
            <v>001</v>
          </cell>
        </row>
        <row r="691">
          <cell r="A691" t="str">
            <v>Услуги по содержанию иммущества 8,40,01 Кап ремонты</v>
          </cell>
          <cell r="B691" t="str">
            <v>903</v>
          </cell>
          <cell r="C691" t="str">
            <v>07</v>
          </cell>
          <cell r="D691" t="str">
            <v>02</v>
          </cell>
          <cell r="E691" t="str">
            <v>421 99 00</v>
          </cell>
          <cell r="F691" t="str">
            <v>001</v>
          </cell>
        </row>
        <row r="692">
          <cell r="A692" t="str">
            <v>Услуги по содержанию иммущества 8,40,02 Кап ремонты</v>
          </cell>
          <cell r="B692" t="str">
            <v>903</v>
          </cell>
          <cell r="C692" t="str">
            <v>07</v>
          </cell>
          <cell r="D692" t="str">
            <v>02</v>
          </cell>
          <cell r="E692" t="str">
            <v>421 99 00</v>
          </cell>
          <cell r="F692" t="str">
            <v>001</v>
          </cell>
        </row>
        <row r="693">
          <cell r="A693" t="str">
            <v>Прочие услуги</v>
          </cell>
          <cell r="B693" t="str">
            <v>903</v>
          </cell>
          <cell r="C693" t="str">
            <v>07</v>
          </cell>
          <cell r="D693" t="str">
            <v>02</v>
          </cell>
          <cell r="E693" t="str">
            <v>421 99 00</v>
          </cell>
          <cell r="F693" t="str">
            <v>001</v>
          </cell>
        </row>
        <row r="694">
          <cell r="A694" t="str">
            <v>Прочие услуги 8.05.00</v>
          </cell>
          <cell r="B694" t="str">
            <v>903</v>
          </cell>
          <cell r="C694" t="str">
            <v>07</v>
          </cell>
          <cell r="D694" t="str">
            <v>02</v>
          </cell>
          <cell r="E694" t="str">
            <v>421 99 00</v>
          </cell>
          <cell r="F694" t="str">
            <v>001</v>
          </cell>
        </row>
        <row r="695">
          <cell r="A695" t="str">
            <v>Прочие услуги 8.40.00</v>
          </cell>
          <cell r="B695" t="str">
            <v>903</v>
          </cell>
          <cell r="C695" t="str">
            <v>07</v>
          </cell>
          <cell r="D695" t="str">
            <v>02</v>
          </cell>
          <cell r="E695" t="str">
            <v>421 99 00</v>
          </cell>
          <cell r="F695" t="str">
            <v>001</v>
          </cell>
        </row>
        <row r="696">
          <cell r="A696" t="str">
            <v>Прочие услуги 8.40.02</v>
          </cell>
          <cell r="B696" t="str">
            <v>903</v>
          </cell>
          <cell r="C696" t="str">
            <v>07</v>
          </cell>
          <cell r="D696" t="str">
            <v>02</v>
          </cell>
          <cell r="E696" t="str">
            <v>422 99 00</v>
          </cell>
          <cell r="F696" t="str">
            <v>001</v>
          </cell>
        </row>
        <row r="697">
          <cell r="A697" t="str">
            <v>Социальное обеспечение</v>
          </cell>
          <cell r="B697" t="str">
            <v>903</v>
          </cell>
          <cell r="C697" t="str">
            <v>07</v>
          </cell>
          <cell r="D697" t="str">
            <v>02</v>
          </cell>
          <cell r="E697" t="str">
            <v>421 99 00</v>
          </cell>
          <cell r="F697" t="str">
            <v>001</v>
          </cell>
        </row>
        <row r="698">
          <cell r="A698" t="str">
            <v>Пособия по социальной помощи населению</v>
          </cell>
          <cell r="B698" t="str">
            <v>903</v>
          </cell>
          <cell r="C698" t="str">
            <v>07</v>
          </cell>
          <cell r="D698" t="str">
            <v>02</v>
          </cell>
          <cell r="E698" t="str">
            <v>421 99 00</v>
          </cell>
          <cell r="F698" t="str">
            <v>001</v>
          </cell>
        </row>
        <row r="699">
          <cell r="A699" t="str">
            <v>Прочие расходы </v>
          </cell>
          <cell r="B699" t="str">
            <v>903</v>
          </cell>
          <cell r="C699" t="str">
            <v>07</v>
          </cell>
          <cell r="D699" t="str">
            <v>02</v>
          </cell>
          <cell r="E699" t="str">
            <v>421 99 00</v>
          </cell>
          <cell r="F699" t="str">
            <v>001</v>
          </cell>
        </row>
        <row r="700">
          <cell r="A700" t="str">
            <v>Поступление нефинансовых активов</v>
          </cell>
          <cell r="B700" t="str">
            <v>903</v>
          </cell>
          <cell r="C700" t="str">
            <v>07</v>
          </cell>
          <cell r="D700" t="str">
            <v>02</v>
          </cell>
          <cell r="E700" t="str">
            <v>421 99 00</v>
          </cell>
          <cell r="F700" t="str">
            <v>001</v>
          </cell>
        </row>
        <row r="701">
          <cell r="A701" t="str">
            <v>Увеличение стоимости основных средств</v>
          </cell>
          <cell r="B701" t="str">
            <v>903</v>
          </cell>
          <cell r="C701" t="str">
            <v>07</v>
          </cell>
          <cell r="D701" t="str">
            <v>02</v>
          </cell>
          <cell r="E701" t="str">
            <v>421 99 00</v>
          </cell>
          <cell r="F701" t="str">
            <v>001</v>
          </cell>
        </row>
        <row r="702">
          <cell r="A702" t="str">
            <v> 8.05.00.00</v>
          </cell>
          <cell r="B702" t="str">
            <v>903</v>
          </cell>
          <cell r="C702" t="str">
            <v>07</v>
          </cell>
          <cell r="D702" t="str">
            <v>02</v>
          </cell>
          <cell r="E702" t="str">
            <v>421 99 00</v>
          </cell>
          <cell r="F702" t="str">
            <v>001</v>
          </cell>
        </row>
        <row r="703">
          <cell r="A703" t="str">
            <v> 8.40,02</v>
          </cell>
          <cell r="B703" t="str">
            <v>903</v>
          </cell>
          <cell r="C703" t="str">
            <v>07</v>
          </cell>
          <cell r="D703" t="str">
            <v>02</v>
          </cell>
          <cell r="E703" t="str">
            <v>422 99 00</v>
          </cell>
          <cell r="F703" t="str">
            <v>001</v>
          </cell>
        </row>
        <row r="704">
          <cell r="A704" t="str">
            <v>Увеличение стоимости материальных запасов</v>
          </cell>
          <cell r="B704" t="str">
            <v>903</v>
          </cell>
          <cell r="C704" t="str">
            <v>07</v>
          </cell>
          <cell r="D704" t="str">
            <v>02</v>
          </cell>
          <cell r="E704" t="str">
            <v>421 99 00</v>
          </cell>
          <cell r="F704" t="str">
            <v>001</v>
          </cell>
        </row>
        <row r="705">
          <cell r="A705" t="str">
            <v> 8.05.00.00</v>
          </cell>
          <cell r="B705" t="str">
            <v>903</v>
          </cell>
          <cell r="C705" t="str">
            <v>07</v>
          </cell>
          <cell r="D705" t="str">
            <v>02</v>
          </cell>
          <cell r="E705" t="str">
            <v>421 99 00</v>
          </cell>
          <cell r="F705" t="str">
            <v>001</v>
          </cell>
        </row>
        <row r="706">
          <cell r="A706" t="str">
            <v> 8.05.00.01</v>
          </cell>
          <cell r="B706" t="str">
            <v>903</v>
          </cell>
          <cell r="C706" t="str">
            <v>07</v>
          </cell>
          <cell r="D706" t="str">
            <v>02</v>
          </cell>
          <cell r="E706" t="str">
            <v>422 99 00</v>
          </cell>
          <cell r="F706" t="str">
            <v>001</v>
          </cell>
        </row>
        <row r="707">
          <cell r="A707" t="str">
            <v> 8.05.00.02</v>
          </cell>
          <cell r="B707" t="str">
            <v>903</v>
          </cell>
          <cell r="C707" t="str">
            <v>07</v>
          </cell>
          <cell r="D707" t="str">
            <v>02</v>
          </cell>
          <cell r="E707" t="str">
            <v>423 99 00</v>
          </cell>
          <cell r="F707" t="str">
            <v>001</v>
          </cell>
        </row>
        <row r="708">
          <cell r="A708" t="str">
            <v> 8.05.00.03</v>
          </cell>
          <cell r="B708" t="str">
            <v>903</v>
          </cell>
          <cell r="C708" t="str">
            <v>07</v>
          </cell>
          <cell r="D708" t="str">
            <v>02</v>
          </cell>
          <cell r="E708" t="str">
            <v>424 99 00</v>
          </cell>
          <cell r="F708" t="str">
            <v>001</v>
          </cell>
        </row>
        <row r="709">
          <cell r="A709" t="str">
            <v> 8.05.00.04</v>
          </cell>
          <cell r="B709" t="str">
            <v>903</v>
          </cell>
          <cell r="C709" t="str">
            <v>07</v>
          </cell>
          <cell r="D709" t="str">
            <v>02</v>
          </cell>
          <cell r="E709" t="str">
            <v>425 99 00</v>
          </cell>
          <cell r="F709" t="str">
            <v>001</v>
          </cell>
        </row>
        <row r="710">
          <cell r="A710" t="str">
            <v> 8.05.00.05</v>
          </cell>
          <cell r="B710" t="str">
            <v>903</v>
          </cell>
          <cell r="C710" t="str">
            <v>07</v>
          </cell>
          <cell r="D710" t="str">
            <v>02</v>
          </cell>
          <cell r="E710" t="str">
            <v>426 99 00</v>
          </cell>
          <cell r="F710" t="str">
            <v>001</v>
          </cell>
        </row>
        <row r="711">
          <cell r="A711" t="str">
            <v> 8.40,02</v>
          </cell>
          <cell r="B711" t="str">
            <v>903</v>
          </cell>
          <cell r="C711" t="str">
            <v>07</v>
          </cell>
          <cell r="D711" t="str">
            <v>02</v>
          </cell>
          <cell r="E711" t="str">
            <v>421 99 00</v>
          </cell>
          <cell r="F711" t="str">
            <v>001</v>
          </cell>
        </row>
        <row r="712">
          <cell r="A712" t="str">
            <v>Субсидии некоммерческим организациям</v>
          </cell>
          <cell r="B712" t="str">
            <v>903</v>
          </cell>
          <cell r="C712" t="str">
            <v>07</v>
          </cell>
          <cell r="D712" t="str">
            <v>02</v>
          </cell>
          <cell r="E712" t="str">
            <v>421 99 00</v>
          </cell>
          <cell r="F712" t="str">
            <v>019</v>
          </cell>
        </row>
        <row r="713">
          <cell r="A713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713" t="str">
            <v>903</v>
          </cell>
          <cell r="C713" t="str">
            <v>07</v>
          </cell>
          <cell r="D713" t="str">
            <v>02</v>
          </cell>
          <cell r="E713" t="str">
            <v>590 00 00</v>
          </cell>
          <cell r="F713" t="str">
            <v>000</v>
          </cell>
        </row>
        <row r="714">
          <cell r="A714" t="str">
            <v>Выполнение функций бюджетными учреждениями</v>
          </cell>
          <cell r="B714" t="str">
            <v>903</v>
          </cell>
          <cell r="C714" t="str">
            <v>07</v>
          </cell>
          <cell r="D714" t="str">
            <v>02</v>
          </cell>
          <cell r="E714" t="str">
            <v>590 00 00</v>
          </cell>
          <cell r="F714" t="str">
            <v>001</v>
          </cell>
        </row>
        <row r="715">
          <cell r="A715" t="str">
            <v>Субсидии некоммерческим организациям</v>
          </cell>
          <cell r="B715" t="str">
            <v>903</v>
          </cell>
          <cell r="C715" t="str">
            <v>07</v>
          </cell>
          <cell r="D715" t="str">
            <v>02</v>
          </cell>
          <cell r="E715" t="str">
            <v>590 00 00</v>
          </cell>
          <cell r="F715" t="str">
            <v>019</v>
          </cell>
        </row>
        <row r="716">
          <cell r="A716" t="str">
            <v>Погашение просроченной кредиторской задолженности по состоянию на 1 апреля 2012 года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</v>
          </cell>
          <cell r="B716" t="str">
            <v>903</v>
          </cell>
          <cell r="C716" t="str">
            <v>07</v>
          </cell>
          <cell r="D716" t="str">
            <v>02</v>
          </cell>
          <cell r="E716" t="str">
            <v>594 00 00</v>
          </cell>
          <cell r="F716" t="str">
            <v>000</v>
          </cell>
        </row>
        <row r="717">
          <cell r="A717" t="str">
            <v>Субсидии некоммерческим организациям</v>
          </cell>
          <cell r="B717" t="str">
            <v>903</v>
          </cell>
          <cell r="C717" t="str">
            <v>07</v>
          </cell>
          <cell r="D717" t="str">
            <v>02</v>
          </cell>
          <cell r="E717" t="str">
            <v>594 00 00</v>
          </cell>
          <cell r="F717" t="str">
            <v>019</v>
          </cell>
        </row>
        <row r="718">
          <cell r="A718" t="str">
            <v>Субвенции на обеспечение госуд. гарантий прав граждан на поблучение общедоступного и бесплатного дошкольного, начального общего, основного общего, среднего (полного) общего образования, а так же дополнительного образования в общеобразовательных учреждения</v>
          </cell>
          <cell r="B718" t="str">
            <v>903</v>
          </cell>
          <cell r="C718" t="str">
            <v>07</v>
          </cell>
          <cell r="D718" t="str">
            <v>02</v>
          </cell>
          <cell r="E718" t="str">
            <v>002 50 00</v>
          </cell>
          <cell r="F718" t="str">
            <v>000</v>
          </cell>
        </row>
        <row r="719">
          <cell r="A719" t="str">
            <v>Обеспечение деятельности подведомственных учреждений</v>
          </cell>
          <cell r="B719" t="str">
            <v>903</v>
          </cell>
          <cell r="C719" t="str">
            <v>07</v>
          </cell>
          <cell r="D719" t="str">
            <v>02</v>
          </cell>
          <cell r="E719" t="str">
            <v>002 50 00</v>
          </cell>
          <cell r="F719" t="str">
            <v>000</v>
          </cell>
        </row>
        <row r="720">
          <cell r="A720" t="str">
            <v>Выполнение функций бюджетными учреждениями</v>
          </cell>
          <cell r="B720" t="str">
            <v>903</v>
          </cell>
          <cell r="C720" t="str">
            <v>07</v>
          </cell>
          <cell r="D720" t="str">
            <v>02</v>
          </cell>
          <cell r="E720" t="str">
            <v>002 50 00</v>
          </cell>
          <cell r="F720" t="str">
            <v>001</v>
          </cell>
        </row>
        <row r="721">
          <cell r="A721" t="str">
            <v>Расходы</v>
          </cell>
          <cell r="B721" t="str">
            <v>903</v>
          </cell>
          <cell r="C721" t="str">
            <v>07</v>
          </cell>
          <cell r="D721" t="str">
            <v>02</v>
          </cell>
          <cell r="E721" t="str">
            <v>002 50 00</v>
          </cell>
          <cell r="F721" t="str">
            <v>001</v>
          </cell>
        </row>
        <row r="722">
          <cell r="A722" t="str">
            <v>Оплата труда и начисления на оплату труда</v>
          </cell>
          <cell r="B722" t="str">
            <v>903</v>
          </cell>
          <cell r="C722" t="str">
            <v>07</v>
          </cell>
          <cell r="D722" t="str">
            <v>02</v>
          </cell>
          <cell r="E722" t="str">
            <v>002 50 00</v>
          </cell>
          <cell r="F722" t="str">
            <v>001</v>
          </cell>
        </row>
        <row r="723">
          <cell r="A723" t="str">
            <v>Заработная плата</v>
          </cell>
          <cell r="B723" t="str">
            <v>903</v>
          </cell>
          <cell r="C723" t="str">
            <v>07</v>
          </cell>
          <cell r="D723" t="str">
            <v>02</v>
          </cell>
          <cell r="E723" t="str">
            <v>002 50 00</v>
          </cell>
          <cell r="F723" t="str">
            <v>001</v>
          </cell>
        </row>
        <row r="724">
          <cell r="A724" t="str">
            <v>Начисление на оплату труда</v>
          </cell>
          <cell r="B724" t="str">
            <v>903</v>
          </cell>
          <cell r="C724" t="str">
            <v>07</v>
          </cell>
          <cell r="D724" t="str">
            <v>02</v>
          </cell>
          <cell r="E724" t="str">
            <v>002 50 00</v>
          </cell>
          <cell r="F724" t="str">
            <v>001</v>
          </cell>
        </row>
        <row r="725">
          <cell r="A725" t="str">
            <v>Приобретение услуг</v>
          </cell>
          <cell r="B725" t="str">
            <v>903</v>
          </cell>
          <cell r="C725" t="str">
            <v>07</v>
          </cell>
          <cell r="D725" t="str">
            <v>02</v>
          </cell>
          <cell r="E725" t="str">
            <v>002 50 00</v>
          </cell>
          <cell r="F725" t="str">
            <v>001</v>
          </cell>
        </row>
        <row r="726">
          <cell r="A726" t="str">
            <v>Услуги связи </v>
          </cell>
          <cell r="B726" t="str">
            <v>903</v>
          </cell>
          <cell r="C726" t="str">
            <v>07</v>
          </cell>
          <cell r="D726" t="str">
            <v>02</v>
          </cell>
          <cell r="E726" t="str">
            <v>002 50 00</v>
          </cell>
          <cell r="F726" t="str">
            <v>001</v>
          </cell>
        </row>
        <row r="727">
          <cell r="A727" t="str">
            <v>Прочие услуги</v>
          </cell>
          <cell r="B727" t="str">
            <v>903</v>
          </cell>
          <cell r="C727" t="str">
            <v>07</v>
          </cell>
          <cell r="D727" t="str">
            <v>02</v>
          </cell>
          <cell r="E727" t="str">
            <v>002 50 00</v>
          </cell>
          <cell r="F727" t="str">
            <v>001</v>
          </cell>
        </row>
        <row r="728">
          <cell r="A728" t="str">
            <v>Поступление нефинансовых активов</v>
          </cell>
          <cell r="B728" t="str">
            <v>903</v>
          </cell>
          <cell r="C728" t="str">
            <v>07</v>
          </cell>
          <cell r="D728" t="str">
            <v>02</v>
          </cell>
          <cell r="E728" t="str">
            <v>002 50 00</v>
          </cell>
          <cell r="F728" t="str">
            <v>001</v>
          </cell>
        </row>
        <row r="729">
          <cell r="A729" t="str">
            <v>Увеличение стоимости основных средств</v>
          </cell>
          <cell r="B729" t="str">
            <v>903</v>
          </cell>
          <cell r="C729" t="str">
            <v>07</v>
          </cell>
          <cell r="D729" t="str">
            <v>02</v>
          </cell>
          <cell r="E729" t="str">
            <v>002 50 00</v>
          </cell>
          <cell r="F729" t="str">
            <v>001</v>
          </cell>
        </row>
        <row r="730">
          <cell r="A730" t="str">
            <v>Субсидии некоммерческим организациям</v>
          </cell>
          <cell r="B730" t="str">
            <v>903</v>
          </cell>
          <cell r="C730" t="str">
            <v>07</v>
          </cell>
          <cell r="D730" t="str">
            <v>02</v>
          </cell>
          <cell r="E730" t="str">
            <v>002 50 00</v>
          </cell>
          <cell r="F730" t="str">
            <v>019</v>
          </cell>
        </row>
        <row r="731">
          <cell r="A731" t="str">
            <v>Учреждения по внешкольной работе с детьми</v>
          </cell>
          <cell r="C731" t="str">
            <v>07</v>
          </cell>
          <cell r="D731" t="str">
            <v>02</v>
          </cell>
          <cell r="E731" t="str">
            <v>423 00 00</v>
          </cell>
          <cell r="F731" t="str">
            <v>000</v>
          </cell>
        </row>
        <row r="732">
          <cell r="A732" t="str">
            <v>Обеспечение деятельности подведомственных учреждений</v>
          </cell>
          <cell r="B732" t="str">
            <v>903</v>
          </cell>
          <cell r="C732" t="str">
            <v>07</v>
          </cell>
          <cell r="D732" t="str">
            <v>02</v>
          </cell>
          <cell r="E732" t="str">
            <v>423 99 00</v>
          </cell>
          <cell r="F732" t="str">
            <v>000</v>
          </cell>
        </row>
        <row r="733">
          <cell r="A733" t="str">
            <v>Выполнение функций бюджетными учреждениями</v>
          </cell>
          <cell r="B733" t="str">
            <v>903</v>
          </cell>
          <cell r="C733" t="str">
            <v>07</v>
          </cell>
          <cell r="D733" t="str">
            <v>02</v>
          </cell>
          <cell r="E733" t="str">
            <v>423 99 00</v>
          </cell>
          <cell r="F733" t="str">
            <v>001</v>
          </cell>
        </row>
        <row r="734">
          <cell r="A734" t="str">
            <v>Расходы</v>
          </cell>
          <cell r="B734" t="str">
            <v>903</v>
          </cell>
          <cell r="C734" t="str">
            <v>07</v>
          </cell>
          <cell r="D734" t="str">
            <v>02</v>
          </cell>
          <cell r="E734" t="str">
            <v>423 99 00</v>
          </cell>
          <cell r="F734" t="str">
            <v>001</v>
          </cell>
        </row>
        <row r="735">
          <cell r="A735" t="str">
            <v>Оплата труда и начисления на оплату труда</v>
          </cell>
          <cell r="B735" t="str">
            <v>903</v>
          </cell>
          <cell r="C735" t="str">
            <v>07</v>
          </cell>
          <cell r="D735" t="str">
            <v>02</v>
          </cell>
          <cell r="E735" t="str">
            <v>423 99 00</v>
          </cell>
          <cell r="F735" t="str">
            <v>001</v>
          </cell>
        </row>
        <row r="736">
          <cell r="A736" t="str">
            <v>Заработная плата</v>
          </cell>
          <cell r="B736" t="str">
            <v>903</v>
          </cell>
          <cell r="C736" t="str">
            <v>07</v>
          </cell>
          <cell r="D736" t="str">
            <v>02</v>
          </cell>
          <cell r="E736" t="str">
            <v>423 99 00</v>
          </cell>
          <cell r="F736" t="str">
            <v>001</v>
          </cell>
        </row>
        <row r="737">
          <cell r="A737" t="str">
            <v>Прочие выплаты</v>
          </cell>
          <cell r="B737" t="str">
            <v>903</v>
          </cell>
          <cell r="C737" t="str">
            <v>07</v>
          </cell>
          <cell r="D737" t="str">
            <v>02</v>
          </cell>
          <cell r="E737" t="str">
            <v>423 99 00</v>
          </cell>
          <cell r="F737" t="str">
            <v>001</v>
          </cell>
        </row>
        <row r="738">
          <cell r="A738" t="str">
            <v>Начисление на оплату труда</v>
          </cell>
          <cell r="B738" t="str">
            <v>903</v>
          </cell>
          <cell r="C738" t="str">
            <v>07</v>
          </cell>
          <cell r="D738" t="str">
            <v>02</v>
          </cell>
          <cell r="E738" t="str">
            <v>423 99 00</v>
          </cell>
          <cell r="F738" t="str">
            <v>001</v>
          </cell>
        </row>
        <row r="739">
          <cell r="A739" t="str">
            <v>Приобретение услуг</v>
          </cell>
          <cell r="B739" t="str">
            <v>903</v>
          </cell>
          <cell r="C739" t="str">
            <v>07</v>
          </cell>
          <cell r="D739" t="str">
            <v>02</v>
          </cell>
          <cell r="E739" t="str">
            <v>423 99 00</v>
          </cell>
          <cell r="F739" t="str">
            <v>001</v>
          </cell>
        </row>
        <row r="740">
          <cell r="A740" t="str">
            <v>Услуги связи </v>
          </cell>
          <cell r="B740" t="str">
            <v>903</v>
          </cell>
          <cell r="C740" t="str">
            <v>07</v>
          </cell>
          <cell r="D740" t="str">
            <v>02</v>
          </cell>
          <cell r="E740" t="str">
            <v>423 99 00</v>
          </cell>
          <cell r="F740" t="str">
            <v>001</v>
          </cell>
        </row>
        <row r="741">
          <cell r="A741" t="str">
            <v>Транспортные услуги</v>
          </cell>
          <cell r="B741" t="str">
            <v>903</v>
          </cell>
          <cell r="C741" t="str">
            <v>07</v>
          </cell>
          <cell r="D741" t="str">
            <v>02</v>
          </cell>
          <cell r="E741" t="str">
            <v>423 99 00</v>
          </cell>
          <cell r="F741" t="str">
            <v>001</v>
          </cell>
        </row>
        <row r="742">
          <cell r="A742" t="str">
            <v>Коммунальные услуги</v>
          </cell>
          <cell r="B742" t="str">
            <v>903</v>
          </cell>
          <cell r="C742" t="str">
            <v>07</v>
          </cell>
          <cell r="D742" t="str">
            <v>02</v>
          </cell>
          <cell r="E742" t="str">
            <v>423 99 00</v>
          </cell>
          <cell r="F742" t="str">
            <v>001</v>
          </cell>
        </row>
        <row r="743">
          <cell r="A743" t="str">
            <v>Арендная плата за пользование иммуществом </v>
          </cell>
          <cell r="B743" t="str">
            <v>903</v>
          </cell>
          <cell r="C743" t="str">
            <v>07</v>
          </cell>
          <cell r="D743" t="str">
            <v>02</v>
          </cell>
          <cell r="E743" t="str">
            <v>423 99 00</v>
          </cell>
          <cell r="F743" t="str">
            <v>001</v>
          </cell>
        </row>
        <row r="744">
          <cell r="A744" t="str">
            <v>Услуги по содержанию иммущества</v>
          </cell>
          <cell r="B744" t="str">
            <v>903</v>
          </cell>
          <cell r="C744" t="str">
            <v>07</v>
          </cell>
          <cell r="D744" t="str">
            <v>02</v>
          </cell>
          <cell r="E744" t="str">
            <v>423 99 00</v>
          </cell>
          <cell r="F744" t="str">
            <v>001</v>
          </cell>
        </row>
        <row r="745">
          <cell r="A745" t="str">
            <v>Услуги по содержанию иммущества 8,40,00</v>
          </cell>
          <cell r="B745" t="str">
            <v>903</v>
          </cell>
          <cell r="C745" t="str">
            <v>07</v>
          </cell>
          <cell r="D745" t="str">
            <v>02</v>
          </cell>
          <cell r="E745" t="str">
            <v>423 99 00</v>
          </cell>
          <cell r="F745" t="str">
            <v>001</v>
          </cell>
        </row>
        <row r="746">
          <cell r="A746" t="str">
            <v>Прочие услуги</v>
          </cell>
          <cell r="B746" t="str">
            <v>903</v>
          </cell>
          <cell r="C746" t="str">
            <v>07</v>
          </cell>
          <cell r="D746" t="str">
            <v>02</v>
          </cell>
          <cell r="E746" t="str">
            <v>423 99 00</v>
          </cell>
          <cell r="F746" t="str">
            <v>001</v>
          </cell>
        </row>
        <row r="747">
          <cell r="A747" t="str">
            <v>Прочие расходы </v>
          </cell>
          <cell r="B747" t="str">
            <v>903</v>
          </cell>
          <cell r="C747" t="str">
            <v>07</v>
          </cell>
          <cell r="D747" t="str">
            <v>02</v>
          </cell>
          <cell r="E747" t="str">
            <v>423 99 00</v>
          </cell>
          <cell r="F747" t="str">
            <v>001</v>
          </cell>
        </row>
        <row r="748">
          <cell r="A748" t="str">
            <v>Поступление нефинансовых активов</v>
          </cell>
          <cell r="B748" t="str">
            <v>903</v>
          </cell>
          <cell r="C748" t="str">
            <v>07</v>
          </cell>
          <cell r="D748" t="str">
            <v>02</v>
          </cell>
          <cell r="E748" t="str">
            <v>423 99 00</v>
          </cell>
          <cell r="F748" t="str">
            <v>001</v>
          </cell>
        </row>
        <row r="749">
          <cell r="A749" t="str">
            <v>Увеличение стоимости основных средств</v>
          </cell>
          <cell r="B749" t="str">
            <v>903</v>
          </cell>
          <cell r="C749" t="str">
            <v>07</v>
          </cell>
          <cell r="D749" t="str">
            <v>02</v>
          </cell>
          <cell r="E749" t="str">
            <v>423 99 00</v>
          </cell>
          <cell r="F749" t="str">
            <v>001</v>
          </cell>
        </row>
        <row r="750">
          <cell r="A750" t="str">
            <v>Увеличение стоимости материальных запасов</v>
          </cell>
          <cell r="B750" t="str">
            <v>903</v>
          </cell>
          <cell r="C750" t="str">
            <v>07</v>
          </cell>
          <cell r="D750" t="str">
            <v>02</v>
          </cell>
          <cell r="E750" t="str">
            <v>423 99 00</v>
          </cell>
          <cell r="F750" t="str">
            <v>001</v>
          </cell>
        </row>
        <row r="751">
          <cell r="A751" t="str">
            <v>Мероприятия по организации оздоровительной кампании детей </v>
          </cell>
          <cell r="B751" t="str">
            <v>903</v>
          </cell>
          <cell r="C751" t="str">
            <v>07</v>
          </cell>
          <cell r="D751" t="str">
            <v>07</v>
          </cell>
          <cell r="E751" t="str">
            <v>432 01 00</v>
          </cell>
          <cell r="F751" t="str">
            <v>000</v>
          </cell>
        </row>
        <row r="752">
          <cell r="B752" t="str">
            <v>903</v>
          </cell>
          <cell r="C752" t="str">
            <v>07</v>
          </cell>
          <cell r="D752" t="str">
            <v>02</v>
          </cell>
          <cell r="E752" t="str">
            <v>432 20 00</v>
          </cell>
          <cell r="F752" t="str">
            <v>000</v>
          </cell>
        </row>
        <row r="753">
          <cell r="A753" t="str">
            <v>Мероприятия по организации оздоровительной кампании детей за счет средств областного бюджета </v>
          </cell>
          <cell r="B753" t="str">
            <v>903</v>
          </cell>
          <cell r="C753" t="str">
            <v>07</v>
          </cell>
          <cell r="D753" t="str">
            <v>07</v>
          </cell>
          <cell r="E753" t="str">
            <v>432 01 01</v>
          </cell>
          <cell r="F753" t="str">
            <v>001</v>
          </cell>
        </row>
        <row r="754">
          <cell r="A754" t="str">
            <v>Поступление нефинансовых активов</v>
          </cell>
          <cell r="B754" t="str">
            <v>903</v>
          </cell>
          <cell r="C754" t="str">
            <v>07</v>
          </cell>
          <cell r="D754" t="str">
            <v>07</v>
          </cell>
          <cell r="E754" t="str">
            <v>432 01 01</v>
          </cell>
          <cell r="F754" t="str">
            <v>001</v>
          </cell>
        </row>
        <row r="755">
          <cell r="A755" t="str">
            <v>Увеличение стоимости материальных запасов</v>
          </cell>
          <cell r="B755" t="str">
            <v>903</v>
          </cell>
          <cell r="C755" t="str">
            <v>07</v>
          </cell>
          <cell r="D755" t="str">
            <v>07</v>
          </cell>
          <cell r="E755" t="str">
            <v>432 01 01</v>
          </cell>
          <cell r="F755" t="str">
            <v>001</v>
          </cell>
        </row>
        <row r="756">
          <cell r="A756" t="str">
            <v>Мероприятия по организации оздоровительной кампании детей за счет средств местного бюджета </v>
          </cell>
          <cell r="B756" t="str">
            <v>903</v>
          </cell>
          <cell r="C756" t="str">
            <v>07</v>
          </cell>
          <cell r="D756" t="str">
            <v>07</v>
          </cell>
          <cell r="E756" t="str">
            <v>432 01 02</v>
          </cell>
          <cell r="F756" t="str">
            <v>001</v>
          </cell>
        </row>
        <row r="757">
          <cell r="A757" t="str">
            <v>Поступление нефинансовых активов</v>
          </cell>
          <cell r="B757" t="str">
            <v>903</v>
          </cell>
          <cell r="C757" t="str">
            <v>07</v>
          </cell>
          <cell r="D757" t="str">
            <v>07</v>
          </cell>
          <cell r="E757" t="str">
            <v>432 01 02</v>
          </cell>
          <cell r="F757" t="str">
            <v>001</v>
          </cell>
        </row>
        <row r="758">
          <cell r="A758" t="str">
            <v>Увеличение стоимости материальных запасов</v>
          </cell>
          <cell r="B758" t="str">
            <v>903</v>
          </cell>
          <cell r="C758" t="str">
            <v>07</v>
          </cell>
          <cell r="D758" t="str">
            <v>07</v>
          </cell>
          <cell r="E758" t="str">
            <v>432 01 02</v>
          </cell>
          <cell r="F758" t="str">
            <v>001</v>
          </cell>
        </row>
        <row r="759">
          <cell r="A759" t="str">
            <v>Закупка автотранспотрных средств и коммунальной техники </v>
          </cell>
          <cell r="B759" t="str">
            <v>903</v>
          </cell>
          <cell r="C759" t="str">
            <v>07</v>
          </cell>
          <cell r="D759" t="str">
            <v>02</v>
          </cell>
          <cell r="E759" t="str">
            <v>340 07 02</v>
          </cell>
          <cell r="F759" t="str">
            <v>001</v>
          </cell>
        </row>
        <row r="760">
          <cell r="A760" t="str">
            <v>Обеспечение деятельности подведомственных учреждений</v>
          </cell>
          <cell r="B760" t="str">
            <v>903</v>
          </cell>
          <cell r="C760" t="str">
            <v>07</v>
          </cell>
          <cell r="D760" t="str">
            <v>02</v>
          </cell>
          <cell r="E760" t="str">
            <v>340 07 02</v>
          </cell>
          <cell r="F760" t="str">
            <v>001</v>
          </cell>
        </row>
        <row r="761">
          <cell r="A761" t="str">
            <v>Выполнение функций бюджетными учреждениями</v>
          </cell>
          <cell r="B761" t="str">
            <v>903</v>
          </cell>
          <cell r="C761" t="str">
            <v>07</v>
          </cell>
          <cell r="D761" t="str">
            <v>02</v>
          </cell>
          <cell r="E761" t="str">
            <v>340 07 02</v>
          </cell>
          <cell r="F761" t="str">
            <v>001</v>
          </cell>
        </row>
        <row r="762">
          <cell r="A762" t="str">
            <v>Поступление нефинансовых активов</v>
          </cell>
          <cell r="B762" t="str">
            <v>903</v>
          </cell>
          <cell r="C762" t="str">
            <v>07</v>
          </cell>
          <cell r="D762" t="str">
            <v>02</v>
          </cell>
          <cell r="E762" t="str">
            <v>340 07 02</v>
          </cell>
          <cell r="F762" t="str">
            <v>001</v>
          </cell>
        </row>
        <row r="763">
          <cell r="A763" t="str">
            <v>Увеличение стоимости основных средств</v>
          </cell>
          <cell r="B763" t="str">
            <v>903</v>
          </cell>
          <cell r="C763" t="str">
            <v>07</v>
          </cell>
          <cell r="D763" t="str">
            <v>02</v>
          </cell>
          <cell r="E763" t="str">
            <v>340 07 02</v>
          </cell>
          <cell r="F763" t="str">
            <v>001</v>
          </cell>
        </row>
        <row r="766">
          <cell r="A766" t="str">
            <v>Субсидии некоммерческим организациям</v>
          </cell>
          <cell r="B766" t="str">
            <v>903</v>
          </cell>
          <cell r="C766" t="str">
            <v>07</v>
          </cell>
          <cell r="D766" t="str">
            <v>02</v>
          </cell>
          <cell r="E766" t="str">
            <v>423 99 00</v>
          </cell>
          <cell r="F766" t="str">
            <v>019</v>
          </cell>
        </row>
        <row r="767">
          <cell r="A767" t="str">
            <v>Учреждения по внешкольной работе с детьми ( музыкальные школы)</v>
          </cell>
          <cell r="B767" t="str">
            <v>905</v>
          </cell>
          <cell r="C767" t="str">
            <v>07</v>
          </cell>
          <cell r="D767" t="str">
            <v>02</v>
          </cell>
          <cell r="E767" t="str">
            <v>423 00 00</v>
          </cell>
          <cell r="F767" t="str">
            <v>000</v>
          </cell>
        </row>
        <row r="768">
          <cell r="A768" t="str">
            <v>Обеспечение деятельности подведомственных учреждений</v>
          </cell>
          <cell r="B768" t="str">
            <v>905</v>
          </cell>
          <cell r="C768" t="str">
            <v>07</v>
          </cell>
          <cell r="D768" t="str">
            <v>02</v>
          </cell>
          <cell r="E768" t="str">
            <v>423 99 00</v>
          </cell>
          <cell r="F768" t="str">
            <v>000</v>
          </cell>
        </row>
        <row r="769">
          <cell r="A769" t="str">
            <v>Субсидии некоммерческим организациям</v>
          </cell>
          <cell r="B769" t="str">
            <v>905</v>
          </cell>
          <cell r="C769" t="str">
            <v>07</v>
          </cell>
          <cell r="D769" t="str">
            <v>02</v>
          </cell>
          <cell r="E769" t="str">
            <v>423 99 00</v>
          </cell>
          <cell r="F769" t="str">
            <v>019</v>
          </cell>
        </row>
        <row r="770">
          <cell r="A770" t="str">
            <v>Расходы</v>
          </cell>
          <cell r="B770" t="str">
            <v>905</v>
          </cell>
          <cell r="C770" t="str">
            <v>07</v>
          </cell>
          <cell r="D770" t="str">
            <v>02</v>
          </cell>
          <cell r="E770" t="str">
            <v>423 99 00</v>
          </cell>
          <cell r="F770" t="str">
            <v>001</v>
          </cell>
        </row>
        <row r="771">
          <cell r="A771" t="str">
            <v>Оплата труда и начисления на оплату труда</v>
          </cell>
          <cell r="B771" t="str">
            <v>905</v>
          </cell>
          <cell r="C771" t="str">
            <v>07</v>
          </cell>
          <cell r="D771" t="str">
            <v>02</v>
          </cell>
          <cell r="E771" t="str">
            <v>423 99 00</v>
          </cell>
          <cell r="F771" t="str">
            <v>001</v>
          </cell>
        </row>
        <row r="772">
          <cell r="A772" t="str">
            <v>Заработная плата</v>
          </cell>
          <cell r="B772" t="str">
            <v>905</v>
          </cell>
          <cell r="C772" t="str">
            <v>07</v>
          </cell>
          <cell r="D772" t="str">
            <v>02</v>
          </cell>
          <cell r="E772" t="str">
            <v>423 99 00</v>
          </cell>
          <cell r="F772" t="str">
            <v>001</v>
          </cell>
        </row>
        <row r="773">
          <cell r="A773" t="str">
            <v>Прочие выплаты</v>
          </cell>
          <cell r="B773" t="str">
            <v>905</v>
          </cell>
          <cell r="C773" t="str">
            <v>07</v>
          </cell>
          <cell r="D773" t="str">
            <v>02</v>
          </cell>
          <cell r="E773" t="str">
            <v>423 99 00</v>
          </cell>
          <cell r="F773" t="str">
            <v>001</v>
          </cell>
        </row>
        <row r="774">
          <cell r="A774" t="str">
            <v>льготы  пед. работникам 8.01.10.00</v>
          </cell>
          <cell r="B774" t="str">
            <v>905</v>
          </cell>
          <cell r="C774" t="str">
            <v>07</v>
          </cell>
          <cell r="D774" t="str">
            <v>02</v>
          </cell>
          <cell r="E774" t="str">
            <v>424 99 00</v>
          </cell>
          <cell r="F774" t="str">
            <v>001</v>
          </cell>
        </row>
        <row r="775">
          <cell r="A775" t="str">
            <v>Начисление на оплату труда</v>
          </cell>
          <cell r="B775" t="str">
            <v>905</v>
          </cell>
          <cell r="C775" t="str">
            <v>07</v>
          </cell>
          <cell r="D775" t="str">
            <v>02</v>
          </cell>
          <cell r="E775" t="str">
            <v>423 99 00</v>
          </cell>
          <cell r="F775" t="str">
            <v>001</v>
          </cell>
        </row>
        <row r="776">
          <cell r="A776" t="str">
            <v>Приобретение услуг</v>
          </cell>
          <cell r="B776" t="str">
            <v>905</v>
          </cell>
          <cell r="C776" t="str">
            <v>07</v>
          </cell>
          <cell r="D776" t="str">
            <v>02</v>
          </cell>
          <cell r="E776" t="str">
            <v>423 99 00</v>
          </cell>
          <cell r="F776" t="str">
            <v>001</v>
          </cell>
        </row>
        <row r="777">
          <cell r="A777" t="str">
            <v>Услуги связи </v>
          </cell>
          <cell r="B777" t="str">
            <v>905</v>
          </cell>
          <cell r="C777" t="str">
            <v>07</v>
          </cell>
          <cell r="D777" t="str">
            <v>02</v>
          </cell>
          <cell r="E777" t="str">
            <v>423 99 00</v>
          </cell>
          <cell r="F777" t="str">
            <v>001</v>
          </cell>
        </row>
        <row r="778">
          <cell r="A778" t="str">
            <v>Транспортные услуги</v>
          </cell>
          <cell r="B778" t="str">
            <v>905</v>
          </cell>
          <cell r="C778" t="str">
            <v>07</v>
          </cell>
          <cell r="D778" t="str">
            <v>02</v>
          </cell>
          <cell r="E778" t="str">
            <v>423 99 00</v>
          </cell>
          <cell r="F778" t="str">
            <v>001</v>
          </cell>
        </row>
        <row r="779">
          <cell r="A779" t="str">
            <v>Коммунальные услуги</v>
          </cell>
          <cell r="B779" t="str">
            <v>905</v>
          </cell>
          <cell r="C779" t="str">
            <v>07</v>
          </cell>
          <cell r="D779" t="str">
            <v>02</v>
          </cell>
          <cell r="E779" t="str">
            <v>423 99 00</v>
          </cell>
          <cell r="F779" t="str">
            <v>001</v>
          </cell>
        </row>
        <row r="780">
          <cell r="A780" t="str">
            <v>Арендная плата за пользование иммуществом </v>
          </cell>
          <cell r="B780" t="str">
            <v>905</v>
          </cell>
          <cell r="C780" t="str">
            <v>07</v>
          </cell>
          <cell r="D780" t="str">
            <v>02</v>
          </cell>
          <cell r="E780" t="str">
            <v>423 99 00</v>
          </cell>
          <cell r="F780" t="str">
            <v>001</v>
          </cell>
        </row>
        <row r="781">
          <cell r="A781" t="str">
            <v>Услуги по содержанию иммущества</v>
          </cell>
          <cell r="B781" t="str">
            <v>905</v>
          </cell>
          <cell r="C781" t="str">
            <v>07</v>
          </cell>
          <cell r="D781" t="str">
            <v>02</v>
          </cell>
          <cell r="E781" t="str">
            <v>423 99 00</v>
          </cell>
          <cell r="F781" t="str">
            <v>001</v>
          </cell>
        </row>
        <row r="782">
          <cell r="A782" t="str">
            <v>Услуги по содержанию иммущества 8.40.01</v>
          </cell>
          <cell r="B782" t="str">
            <v>905</v>
          </cell>
          <cell r="C782" t="str">
            <v>07</v>
          </cell>
          <cell r="D782" t="str">
            <v>02</v>
          </cell>
          <cell r="E782" t="str">
            <v>423 99 00</v>
          </cell>
          <cell r="F782" t="str">
            <v>001</v>
          </cell>
        </row>
        <row r="783">
          <cell r="A783" t="str">
            <v>Услуги по содержанию иммущества 8.40.02</v>
          </cell>
          <cell r="B783" t="str">
            <v>905</v>
          </cell>
          <cell r="C783" t="str">
            <v>07</v>
          </cell>
          <cell r="D783" t="str">
            <v>02</v>
          </cell>
          <cell r="E783" t="str">
            <v>423 99 00</v>
          </cell>
          <cell r="F783" t="str">
            <v>001</v>
          </cell>
        </row>
        <row r="784">
          <cell r="A784" t="str">
            <v>Прочие услуги</v>
          </cell>
          <cell r="B784" t="str">
            <v>905</v>
          </cell>
          <cell r="C784" t="str">
            <v>07</v>
          </cell>
          <cell r="D784" t="str">
            <v>02</v>
          </cell>
          <cell r="E784" t="str">
            <v>423 99 00</v>
          </cell>
          <cell r="F784" t="str">
            <v>001</v>
          </cell>
        </row>
        <row r="785">
          <cell r="A785" t="str">
            <v>Социальное обеспечение</v>
          </cell>
          <cell r="B785" t="str">
            <v>905</v>
          </cell>
          <cell r="C785" t="str">
            <v>07</v>
          </cell>
          <cell r="D785" t="str">
            <v>02</v>
          </cell>
          <cell r="E785" t="str">
            <v>423 99 00</v>
          </cell>
          <cell r="F785" t="str">
            <v>001</v>
          </cell>
        </row>
        <row r="786">
          <cell r="A786" t="str">
            <v>Пособия по социальной помощи населению</v>
          </cell>
          <cell r="B786" t="str">
            <v>905</v>
          </cell>
          <cell r="C786" t="str">
            <v>07</v>
          </cell>
          <cell r="D786" t="str">
            <v>02</v>
          </cell>
          <cell r="E786" t="str">
            <v>423 99 00</v>
          </cell>
          <cell r="F786" t="str">
            <v>001</v>
          </cell>
        </row>
        <row r="787">
          <cell r="A787" t="str">
            <v>Прочие расходы </v>
          </cell>
          <cell r="B787" t="str">
            <v>905</v>
          </cell>
          <cell r="C787" t="str">
            <v>07</v>
          </cell>
          <cell r="D787" t="str">
            <v>02</v>
          </cell>
          <cell r="E787" t="str">
            <v>423 99 00</v>
          </cell>
          <cell r="F787" t="str">
            <v>001</v>
          </cell>
        </row>
        <row r="788">
          <cell r="A788" t="str">
            <v>Поступление нефинансовых активов</v>
          </cell>
          <cell r="B788" t="str">
            <v>905</v>
          </cell>
          <cell r="C788" t="str">
            <v>07</v>
          </cell>
          <cell r="D788" t="str">
            <v>02</v>
          </cell>
          <cell r="E788" t="str">
            <v>423 99 00</v>
          </cell>
          <cell r="F788" t="str">
            <v>001</v>
          </cell>
        </row>
        <row r="789">
          <cell r="A789" t="str">
            <v>Увеличение стоимости основных средств</v>
          </cell>
          <cell r="B789" t="str">
            <v>905</v>
          </cell>
          <cell r="C789" t="str">
            <v>07</v>
          </cell>
          <cell r="D789" t="str">
            <v>02</v>
          </cell>
          <cell r="E789" t="str">
            <v>423 99 00</v>
          </cell>
          <cell r="F789" t="str">
            <v>001</v>
          </cell>
        </row>
        <row r="790">
          <cell r="A790" t="str">
            <v>Увеличение стоимости материальных запасов</v>
          </cell>
          <cell r="B790" t="str">
            <v>905</v>
          </cell>
          <cell r="C790" t="str">
            <v>07</v>
          </cell>
          <cell r="D790" t="str">
            <v>02</v>
          </cell>
          <cell r="E790" t="str">
            <v>423 99 00</v>
          </cell>
          <cell r="F790" t="str">
            <v>001</v>
          </cell>
        </row>
        <row r="791">
          <cell r="A791" t="str">
            <v>Увеличение стоимости материальных запасов 8,40,02</v>
          </cell>
          <cell r="B791" t="str">
            <v>901</v>
          </cell>
          <cell r="C791" t="str">
            <v>07</v>
          </cell>
          <cell r="D791" t="str">
            <v>02</v>
          </cell>
          <cell r="E791" t="str">
            <v>424 00 00</v>
          </cell>
          <cell r="F791" t="str">
            <v>000</v>
          </cell>
        </row>
        <row r="792">
          <cell r="A792" t="str">
            <v>Увеличение стоимости материальных запасов 8,40,03</v>
          </cell>
          <cell r="B792" t="str">
            <v>901</v>
          </cell>
          <cell r="C792" t="str">
            <v>07</v>
          </cell>
          <cell r="D792" t="str">
            <v>02</v>
          </cell>
          <cell r="E792" t="str">
            <v>424 00 00</v>
          </cell>
          <cell r="F792" t="str">
            <v>327</v>
          </cell>
        </row>
        <row r="793">
          <cell r="A793" t="str">
            <v>Увеличение стоимости материальных запасов 8,40,04</v>
          </cell>
          <cell r="B793" t="str">
            <v>901</v>
          </cell>
          <cell r="C793" t="str">
            <v>07</v>
          </cell>
          <cell r="D793" t="str">
            <v>02</v>
          </cell>
          <cell r="E793" t="str">
            <v>424 00 00</v>
          </cell>
          <cell r="F793" t="str">
            <v>327</v>
          </cell>
        </row>
        <row r="794">
          <cell r="A794" t="str">
            <v>Увеличение стоимости материальных запасов 8,40,05</v>
          </cell>
          <cell r="B794" t="str">
            <v>901</v>
          </cell>
          <cell r="C794" t="str">
            <v>07</v>
          </cell>
          <cell r="D794" t="str">
            <v>02</v>
          </cell>
          <cell r="E794" t="str">
            <v>424 00 00</v>
          </cell>
          <cell r="F794" t="str">
            <v>327</v>
          </cell>
        </row>
        <row r="795">
          <cell r="A795" t="str">
            <v>Увеличение стоимости материальных запасов 8,40,06</v>
          </cell>
          <cell r="B795" t="str">
            <v>901</v>
          </cell>
          <cell r="C795" t="str">
            <v>07</v>
          </cell>
          <cell r="D795" t="str">
            <v>02</v>
          </cell>
          <cell r="E795" t="str">
            <v>424 00 00</v>
          </cell>
          <cell r="F795" t="str">
            <v>327</v>
          </cell>
        </row>
        <row r="796">
          <cell r="A796" t="str">
            <v>Увеличение стоимости материальных запасов 8,40,07</v>
          </cell>
          <cell r="B796" t="str">
            <v>901</v>
          </cell>
          <cell r="C796" t="str">
            <v>07</v>
          </cell>
          <cell r="D796" t="str">
            <v>02</v>
          </cell>
          <cell r="E796" t="str">
            <v>424 00 00</v>
          </cell>
          <cell r="F796" t="str">
            <v>327</v>
          </cell>
        </row>
        <row r="797">
          <cell r="A797" t="str">
            <v>Увеличение стоимости материальных запасов 8,40,08</v>
          </cell>
          <cell r="B797" t="str">
            <v>901</v>
          </cell>
          <cell r="C797" t="str">
            <v>07</v>
          </cell>
          <cell r="D797" t="str">
            <v>02</v>
          </cell>
          <cell r="E797" t="str">
            <v>424 00 00</v>
          </cell>
          <cell r="F797" t="str">
            <v>327</v>
          </cell>
        </row>
        <row r="798">
          <cell r="A798" t="str">
            <v>Увеличение стоимости материальных запасов 8,40,09</v>
          </cell>
          <cell r="B798" t="str">
            <v>901</v>
          </cell>
          <cell r="C798" t="str">
            <v>07</v>
          </cell>
          <cell r="D798" t="str">
            <v>02</v>
          </cell>
          <cell r="E798" t="str">
            <v>424 00 00</v>
          </cell>
          <cell r="F798" t="str">
            <v>327</v>
          </cell>
        </row>
        <row r="799">
          <cell r="A799" t="str">
            <v>Увеличение стоимости материальных запасов 8,40,10</v>
          </cell>
          <cell r="B799" t="str">
            <v>901</v>
          </cell>
          <cell r="C799" t="str">
            <v>07</v>
          </cell>
          <cell r="D799" t="str">
            <v>02</v>
          </cell>
          <cell r="E799" t="str">
            <v>424 00 00</v>
          </cell>
          <cell r="F799" t="str">
            <v>327</v>
          </cell>
        </row>
        <row r="800">
          <cell r="A800" t="str">
            <v>Увеличение стоимости материальных запасов 8,40,11</v>
          </cell>
          <cell r="B800" t="str">
            <v>901</v>
          </cell>
          <cell r="C800" t="str">
            <v>07</v>
          </cell>
          <cell r="D800" t="str">
            <v>02</v>
          </cell>
          <cell r="E800" t="str">
            <v>424 00 00</v>
          </cell>
          <cell r="F800" t="str">
            <v>327</v>
          </cell>
        </row>
        <row r="801">
          <cell r="A801" t="str">
            <v>Увеличение стоимости материальных запасов 8,40,12</v>
          </cell>
          <cell r="B801" t="str">
            <v>901</v>
          </cell>
          <cell r="C801" t="str">
            <v>07</v>
          </cell>
          <cell r="D801" t="str">
            <v>02</v>
          </cell>
          <cell r="E801" t="str">
            <v>424 00 00</v>
          </cell>
          <cell r="F801" t="str">
            <v>327</v>
          </cell>
        </row>
        <row r="802">
          <cell r="A802" t="str">
            <v>Увеличение стоимости материальных запасов 8,40,13</v>
          </cell>
          <cell r="B802" t="str">
            <v>901</v>
          </cell>
          <cell r="C802" t="str">
            <v>07</v>
          </cell>
          <cell r="D802" t="str">
            <v>02</v>
          </cell>
          <cell r="E802" t="str">
            <v>424 00 00</v>
          </cell>
          <cell r="F802" t="str">
            <v>327</v>
          </cell>
        </row>
        <row r="803">
          <cell r="A803" t="str">
            <v>Увеличение стоимости материальных запасов 8,40,14</v>
          </cell>
          <cell r="B803" t="str">
            <v>901</v>
          </cell>
          <cell r="C803" t="str">
            <v>07</v>
          </cell>
          <cell r="D803" t="str">
            <v>02</v>
          </cell>
          <cell r="E803" t="str">
            <v>424 00 00</v>
          </cell>
          <cell r="F803" t="str">
            <v>327</v>
          </cell>
        </row>
        <row r="804">
          <cell r="A804" t="str">
            <v>Увеличение стоимости материальных запасов 8,40,15</v>
          </cell>
          <cell r="B804" t="str">
            <v>901</v>
          </cell>
          <cell r="C804" t="str">
            <v>07</v>
          </cell>
          <cell r="D804" t="str">
            <v>02</v>
          </cell>
          <cell r="E804" t="str">
            <v>424 00 00</v>
          </cell>
          <cell r="F804" t="str">
            <v>327</v>
          </cell>
        </row>
        <row r="805">
          <cell r="A805" t="str">
            <v>Увеличение стоимости материальных запасов 8,40,16</v>
          </cell>
          <cell r="B805" t="str">
            <v>901</v>
          </cell>
          <cell r="C805" t="str">
            <v>07</v>
          </cell>
          <cell r="D805" t="str">
            <v>02</v>
          </cell>
          <cell r="E805" t="str">
            <v>424 00 00</v>
          </cell>
          <cell r="F805" t="str">
            <v>327</v>
          </cell>
        </row>
        <row r="806">
          <cell r="A806" t="str">
            <v>Увеличение стоимости материальных запасов 8,40,17</v>
          </cell>
          <cell r="B806" t="str">
            <v>901</v>
          </cell>
          <cell r="C806" t="str">
            <v>07</v>
          </cell>
          <cell r="D806" t="str">
            <v>02</v>
          </cell>
          <cell r="E806" t="str">
            <v>424 00 00</v>
          </cell>
          <cell r="F806" t="str">
            <v>327</v>
          </cell>
        </row>
        <row r="807">
          <cell r="A807" t="str">
            <v>Увеличение стоимости материальных запасов 8,40,18</v>
          </cell>
          <cell r="B807" t="str">
            <v>901</v>
          </cell>
          <cell r="C807" t="str">
            <v>07</v>
          </cell>
          <cell r="D807" t="str">
            <v>02</v>
          </cell>
          <cell r="E807" t="str">
            <v>424 00 00</v>
          </cell>
          <cell r="F807" t="str">
            <v>327</v>
          </cell>
        </row>
        <row r="808">
          <cell r="A808" t="str">
            <v>Увеличение стоимости материальных запасов 8,40,02</v>
          </cell>
          <cell r="B808" t="str">
            <v>905</v>
          </cell>
          <cell r="C808" t="str">
            <v>07</v>
          </cell>
          <cell r="D808" t="str">
            <v>02</v>
          </cell>
          <cell r="E808" t="str">
            <v>423 99 00</v>
          </cell>
          <cell r="F808" t="str">
            <v>001</v>
          </cell>
        </row>
        <row r="809">
          <cell r="A809" t="str">
            <v>Целевые программы муниципальных образований </v>
          </cell>
          <cell r="B809" t="str">
            <v>905</v>
          </cell>
          <cell r="C809" t="str">
            <v>07</v>
          </cell>
          <cell r="D809" t="str">
            <v>02</v>
          </cell>
          <cell r="E809" t="str">
            <v>795 00 00</v>
          </cell>
          <cell r="F809" t="str">
            <v>000</v>
          </cell>
        </row>
        <row r="810">
          <cell r="A810" t="str">
            <v>Выполнение функций органами местного самоуправления</v>
          </cell>
          <cell r="B810" t="str">
            <v>905</v>
          </cell>
          <cell r="C810" t="str">
            <v>07</v>
          </cell>
          <cell r="D810" t="str">
            <v>02</v>
          </cell>
          <cell r="E810" t="str">
            <v>795 00 00</v>
          </cell>
          <cell r="F810" t="str">
            <v>500</v>
          </cell>
        </row>
        <row r="811">
          <cell r="A811" t="str">
            <v>Расходы</v>
          </cell>
          <cell r="B811" t="str">
            <v>905</v>
          </cell>
          <cell r="C811" t="str">
            <v>07</v>
          </cell>
          <cell r="D811" t="str">
            <v>02</v>
          </cell>
          <cell r="E811" t="str">
            <v>795 00 00</v>
          </cell>
          <cell r="F811" t="str">
            <v>500</v>
          </cell>
        </row>
        <row r="812">
          <cell r="A812" t="str">
            <v>Приобретение услуг</v>
          </cell>
          <cell r="B812" t="str">
            <v>905</v>
          </cell>
          <cell r="C812" t="str">
            <v>07</v>
          </cell>
          <cell r="D812" t="str">
            <v>02</v>
          </cell>
          <cell r="E812" t="str">
            <v>795 00 00</v>
          </cell>
          <cell r="F812" t="str">
            <v>500</v>
          </cell>
        </row>
        <row r="813">
          <cell r="A813" t="str">
            <v>Услуги по содержанию иммущества</v>
          </cell>
          <cell r="B813" t="str">
            <v>905</v>
          </cell>
          <cell r="C813" t="str">
            <v>07</v>
          </cell>
          <cell r="D813" t="str">
            <v>02</v>
          </cell>
          <cell r="E813" t="str">
            <v>795 00 00</v>
          </cell>
          <cell r="F813" t="str">
            <v>500</v>
          </cell>
        </row>
        <row r="814">
          <cell r="A814" t="str">
            <v>Прочие услуги</v>
          </cell>
          <cell r="B814" t="str">
            <v>905</v>
          </cell>
          <cell r="C814" t="str">
            <v>07</v>
          </cell>
          <cell r="D814" t="str">
            <v>02</v>
          </cell>
          <cell r="E814" t="str">
            <v>795 18 00</v>
          </cell>
          <cell r="F814" t="str">
            <v>500</v>
          </cell>
        </row>
        <row r="815">
          <cell r="A815" t="str">
            <v>Поступление нефинансовых активов</v>
          </cell>
          <cell r="B815" t="str">
            <v>905</v>
          </cell>
          <cell r="C815" t="str">
            <v>07</v>
          </cell>
          <cell r="D815" t="str">
            <v>02</v>
          </cell>
          <cell r="E815" t="str">
            <v>795 00 00</v>
          </cell>
          <cell r="F815" t="str">
            <v>500</v>
          </cell>
        </row>
        <row r="816">
          <cell r="A816" t="str">
            <v>Увеличение стоимости материальных запасов</v>
          </cell>
          <cell r="B816" t="str">
            <v>905</v>
          </cell>
          <cell r="C816" t="str">
            <v>07</v>
          </cell>
          <cell r="D816" t="str">
            <v>02</v>
          </cell>
          <cell r="E816" t="str">
            <v>795 00 00</v>
          </cell>
          <cell r="F816" t="str">
            <v>500</v>
          </cell>
        </row>
        <row r="820">
          <cell r="A820" t="str">
            <v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</v>
          </cell>
          <cell r="C820" t="str">
            <v>07</v>
          </cell>
          <cell r="D820" t="str">
            <v>02</v>
          </cell>
          <cell r="E820" t="str">
            <v>589 00 00</v>
          </cell>
          <cell r="F820" t="str">
            <v>000</v>
          </cell>
        </row>
        <row r="821">
          <cell r="A821" t="str">
            <v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</v>
          </cell>
          <cell r="B821" t="str">
            <v>903</v>
          </cell>
          <cell r="C821" t="str">
            <v>07</v>
          </cell>
          <cell r="D821" t="str">
            <v>02</v>
          </cell>
          <cell r="E821" t="str">
            <v>589 00 00</v>
          </cell>
          <cell r="F821" t="str">
            <v>000</v>
          </cell>
        </row>
        <row r="822">
          <cell r="A822" t="str">
            <v>Выполнение функций бюджетными учреждениями</v>
          </cell>
          <cell r="B822" t="str">
            <v>903</v>
          </cell>
          <cell r="C822" t="str">
            <v>07</v>
          </cell>
          <cell r="D822" t="str">
            <v>02</v>
          </cell>
          <cell r="E822" t="str">
            <v>589 00 00</v>
          </cell>
          <cell r="F822" t="str">
            <v>001</v>
          </cell>
        </row>
        <row r="823">
          <cell r="A823" t="str">
            <v>Субсидии некоммерческим организациям</v>
          </cell>
          <cell r="B823" t="str">
            <v>903</v>
          </cell>
          <cell r="C823" t="str">
            <v>07</v>
          </cell>
          <cell r="D823" t="str">
            <v>02</v>
          </cell>
          <cell r="E823" t="str">
            <v>589 00 00</v>
          </cell>
          <cell r="F823" t="str">
            <v>019</v>
          </cell>
        </row>
        <row r="824">
          <cell r="A824" t="str">
            <v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</v>
          </cell>
          <cell r="B824" t="str">
            <v>905</v>
          </cell>
          <cell r="C824" t="str">
            <v>07</v>
          </cell>
          <cell r="D824" t="str">
            <v>02</v>
          </cell>
          <cell r="E824" t="str">
            <v>589 00 00</v>
          </cell>
          <cell r="F824" t="str">
            <v>000</v>
          </cell>
        </row>
        <row r="825">
          <cell r="A825" t="str">
            <v>Выполнение функций бюджетными учреждениями</v>
          </cell>
          <cell r="B825" t="str">
            <v>905</v>
          </cell>
          <cell r="C825" t="str">
            <v>07</v>
          </cell>
          <cell r="D825" t="str">
            <v>02</v>
          </cell>
          <cell r="E825" t="str">
            <v>589 00 00</v>
          </cell>
          <cell r="F825" t="str">
            <v>001</v>
          </cell>
        </row>
        <row r="826">
          <cell r="A826" t="str">
            <v>Субсидии некоммерческим организациям</v>
          </cell>
          <cell r="B826" t="str">
            <v>905</v>
          </cell>
          <cell r="C826" t="str">
            <v>07</v>
          </cell>
          <cell r="D826" t="str">
            <v>02</v>
          </cell>
          <cell r="E826" t="str">
            <v>589 00 00</v>
          </cell>
          <cell r="F826" t="str">
            <v>019</v>
          </cell>
        </row>
        <row r="827">
          <cell r="A827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827" t="str">
            <v>905</v>
          </cell>
          <cell r="C827" t="str">
            <v>07</v>
          </cell>
          <cell r="D827" t="str">
            <v>02</v>
          </cell>
          <cell r="E827" t="str">
            <v>590 00 00</v>
          </cell>
          <cell r="F827" t="str">
            <v>000</v>
          </cell>
        </row>
        <row r="828">
          <cell r="A828" t="str">
            <v>Субсидии некоммерческим организациям</v>
          </cell>
          <cell r="B828" t="str">
            <v>905</v>
          </cell>
          <cell r="C828" t="str">
            <v>07</v>
          </cell>
          <cell r="D828" t="str">
            <v>02</v>
          </cell>
          <cell r="E828" t="str">
            <v>590 00 00</v>
          </cell>
          <cell r="F828" t="str">
            <v>019</v>
          </cell>
        </row>
        <row r="829">
          <cell r="A829" t="str">
            <v>Иные безвозмездные и безвозвратные перечисления</v>
          </cell>
          <cell r="B829" t="str">
            <v>903</v>
          </cell>
          <cell r="C829" t="str">
            <v>07</v>
          </cell>
          <cell r="D829" t="str">
            <v>02</v>
          </cell>
          <cell r="E829" t="str">
            <v>520 00 00</v>
          </cell>
          <cell r="F829" t="str">
            <v>000</v>
          </cell>
        </row>
        <row r="830">
          <cell r="A830" t="str">
            <v>Ежемесячное денежное вознаграждение за классное руководство</v>
          </cell>
          <cell r="B830" t="str">
            <v>903</v>
          </cell>
          <cell r="C830" t="str">
            <v>07</v>
          </cell>
          <cell r="D830" t="str">
            <v>02</v>
          </cell>
          <cell r="E830" t="str">
            <v>520 09 00</v>
          </cell>
          <cell r="F830" t="str">
            <v>000</v>
          </cell>
        </row>
        <row r="831">
          <cell r="A831" t="str">
            <v>Выполнение функций бюджетными учреждениями</v>
          </cell>
          <cell r="B831" t="str">
            <v>903</v>
          </cell>
          <cell r="C831" t="str">
            <v>07</v>
          </cell>
          <cell r="D831" t="str">
            <v>02</v>
          </cell>
          <cell r="E831" t="str">
            <v>520 09 00</v>
          </cell>
          <cell r="F831" t="str">
            <v>001</v>
          </cell>
        </row>
        <row r="832">
          <cell r="A832" t="str">
            <v>Расходы</v>
          </cell>
          <cell r="B832" t="str">
            <v>903</v>
          </cell>
          <cell r="C832" t="str">
            <v>07</v>
          </cell>
          <cell r="D832" t="str">
            <v>02</v>
          </cell>
          <cell r="E832" t="str">
            <v>520 09 00</v>
          </cell>
          <cell r="F832" t="str">
            <v>001</v>
          </cell>
        </row>
        <row r="833">
          <cell r="A833" t="str">
            <v>Оплата труда и начисления на оплату труда</v>
          </cell>
          <cell r="B833" t="str">
            <v>903</v>
          </cell>
          <cell r="C833" t="str">
            <v>07</v>
          </cell>
          <cell r="D833" t="str">
            <v>02</v>
          </cell>
          <cell r="E833" t="str">
            <v>520 09 00</v>
          </cell>
          <cell r="F833" t="str">
            <v>001</v>
          </cell>
        </row>
        <row r="834">
          <cell r="A834" t="str">
            <v>Заработная плата</v>
          </cell>
          <cell r="B834" t="str">
            <v>903</v>
          </cell>
          <cell r="C834" t="str">
            <v>07</v>
          </cell>
          <cell r="D834" t="str">
            <v>02</v>
          </cell>
          <cell r="E834" t="str">
            <v>520 09 00</v>
          </cell>
          <cell r="F834" t="str">
            <v>001</v>
          </cell>
        </row>
        <row r="835">
          <cell r="A835" t="str">
            <v>Иные безвозмездные и безвозвратные перичесления </v>
          </cell>
          <cell r="B835" t="str">
            <v>903</v>
          </cell>
          <cell r="C835" t="str">
            <v>07</v>
          </cell>
          <cell r="D835" t="str">
            <v>02</v>
          </cell>
          <cell r="E835" t="str">
            <v>520 09 00</v>
          </cell>
          <cell r="F835" t="str">
            <v>000</v>
          </cell>
        </row>
        <row r="836">
          <cell r="A836" t="str">
            <v>Внедрение инновационных общеобразовательных программ в государственных и муниципальных организациях</v>
          </cell>
          <cell r="B836" t="str">
            <v>903</v>
          </cell>
          <cell r="C836" t="str">
            <v>07</v>
          </cell>
          <cell r="D836" t="str">
            <v>02</v>
          </cell>
          <cell r="E836" t="str">
            <v>520 09 00</v>
          </cell>
          <cell r="F836" t="str">
            <v>621</v>
          </cell>
        </row>
        <row r="837">
          <cell r="A837" t="str">
            <v>Безвозмездные и безвозвратные перечисления государственным и муниципальным организациям</v>
          </cell>
          <cell r="B837" t="str">
            <v>903</v>
          </cell>
          <cell r="C837" t="str">
            <v>07</v>
          </cell>
          <cell r="D837" t="str">
            <v>02</v>
          </cell>
          <cell r="E837" t="str">
            <v>520 09 00</v>
          </cell>
          <cell r="F837" t="str">
            <v>621</v>
          </cell>
        </row>
        <row r="838">
          <cell r="A838" t="str">
            <v>Субсидии некоммерческим организациям</v>
          </cell>
          <cell r="B838" t="str">
            <v>903</v>
          </cell>
          <cell r="C838" t="str">
            <v>07</v>
          </cell>
          <cell r="D838" t="str">
            <v>02</v>
          </cell>
          <cell r="E838" t="str">
            <v>520 09 00</v>
          </cell>
          <cell r="F838" t="str">
            <v>019</v>
          </cell>
        </row>
        <row r="839">
          <cell r="A839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839" t="str">
            <v>903</v>
          </cell>
          <cell r="C839" t="str">
            <v>07</v>
          </cell>
          <cell r="D839" t="str">
            <v>02</v>
          </cell>
          <cell r="E839" t="str">
            <v>590 00 00</v>
          </cell>
          <cell r="F839" t="str">
            <v>000</v>
          </cell>
        </row>
        <row r="840">
          <cell r="A840" t="str">
            <v>Выполнение функций бюджетными учреждениями</v>
          </cell>
          <cell r="B840" t="str">
            <v>903</v>
          </cell>
          <cell r="C840" t="str">
            <v>07</v>
          </cell>
          <cell r="D840" t="str">
            <v>02</v>
          </cell>
          <cell r="E840" t="str">
            <v>590 00 00</v>
          </cell>
          <cell r="F840" t="str">
            <v>001</v>
          </cell>
        </row>
        <row r="842">
          <cell r="A842" t="str">
            <v>Субсидии некоммерческим организациям</v>
          </cell>
          <cell r="B842" t="str">
            <v>903</v>
          </cell>
          <cell r="C842" t="str">
            <v>07</v>
          </cell>
          <cell r="D842" t="str">
            <v>02</v>
          </cell>
          <cell r="E842" t="str">
            <v>590 00 00</v>
          </cell>
          <cell r="F842" t="str">
            <v>019</v>
          </cell>
        </row>
        <row r="843">
          <cell r="A843" t="str">
            <v>Софинансирование ДЦП Иркутской области "Доступная среда для инвалидов" на 2011-2015 годы (Доп.ЭК 8.70.07.00)</v>
          </cell>
          <cell r="B843" t="str">
            <v>903</v>
          </cell>
          <cell r="C843" t="str">
            <v>07</v>
          </cell>
          <cell r="D843" t="str">
            <v>02</v>
          </cell>
          <cell r="E843" t="str">
            <v>421 99 00</v>
          </cell>
          <cell r="F843" t="str">
            <v>000</v>
          </cell>
        </row>
        <row r="844">
          <cell r="A844" t="str">
            <v>Выполнение функций органами местного самоуправления</v>
          </cell>
          <cell r="B844" t="str">
            <v>903</v>
          </cell>
          <cell r="C844" t="str">
            <v>07</v>
          </cell>
          <cell r="D844" t="str">
            <v>02</v>
          </cell>
          <cell r="E844" t="str">
            <v>421 99 00</v>
          </cell>
          <cell r="F844" t="str">
            <v>019</v>
          </cell>
        </row>
        <row r="845">
          <cell r="A845" t="str">
            <v>Молодежная политика и оздоровление детей</v>
          </cell>
          <cell r="C845" t="str">
            <v>07</v>
          </cell>
          <cell r="D845" t="str">
            <v>07</v>
          </cell>
          <cell r="E845" t="str">
            <v>000 00 00</v>
          </cell>
          <cell r="F845" t="str">
            <v>000</v>
          </cell>
        </row>
        <row r="846">
          <cell r="B846" t="str">
            <v>901</v>
          </cell>
          <cell r="C846" t="str">
            <v>07</v>
          </cell>
          <cell r="D846" t="str">
            <v>07</v>
          </cell>
          <cell r="E846" t="str">
            <v>001 00 00</v>
          </cell>
          <cell r="F846" t="str">
            <v>000</v>
          </cell>
        </row>
        <row r="847">
          <cell r="B847" t="str">
            <v>901</v>
          </cell>
          <cell r="C847" t="str">
            <v>07</v>
          </cell>
          <cell r="D847" t="str">
            <v>07</v>
          </cell>
          <cell r="E847" t="str">
            <v>001 00 00</v>
          </cell>
          <cell r="F847" t="str">
            <v>005</v>
          </cell>
        </row>
        <row r="848">
          <cell r="B848" t="str">
            <v>901</v>
          </cell>
          <cell r="C848" t="str">
            <v>07</v>
          </cell>
          <cell r="D848" t="str">
            <v>07</v>
          </cell>
          <cell r="E848" t="str">
            <v>001 00 00</v>
          </cell>
          <cell r="F848" t="str">
            <v>005</v>
          </cell>
        </row>
        <row r="849">
          <cell r="B849" t="str">
            <v>901</v>
          </cell>
          <cell r="C849" t="str">
            <v>07</v>
          </cell>
          <cell r="D849" t="str">
            <v>07</v>
          </cell>
          <cell r="E849" t="str">
            <v>001 00 00</v>
          </cell>
          <cell r="F849" t="str">
            <v>005</v>
          </cell>
        </row>
        <row r="850">
          <cell r="A850" t="str">
            <v>Прочие выплаты</v>
          </cell>
          <cell r="B850" t="str">
            <v>901</v>
          </cell>
          <cell r="C850" t="str">
            <v>07</v>
          </cell>
          <cell r="D850" t="str">
            <v>07</v>
          </cell>
          <cell r="E850" t="str">
            <v>001 00 00</v>
          </cell>
          <cell r="F850" t="str">
            <v>005</v>
          </cell>
        </row>
        <row r="851">
          <cell r="A851" t="str">
            <v>Начисление на оплату труда</v>
          </cell>
          <cell r="B851" t="str">
            <v>901</v>
          </cell>
          <cell r="C851" t="str">
            <v>07</v>
          </cell>
          <cell r="D851" t="str">
            <v>07</v>
          </cell>
          <cell r="E851" t="str">
            <v>001 00 00</v>
          </cell>
          <cell r="F851" t="str">
            <v>005</v>
          </cell>
        </row>
        <row r="852">
          <cell r="A852" t="str">
            <v>Приобретение услуг</v>
          </cell>
          <cell r="B852" t="str">
            <v>901</v>
          </cell>
          <cell r="C852" t="str">
            <v>07</v>
          </cell>
          <cell r="D852" t="str">
            <v>07</v>
          </cell>
          <cell r="E852" t="str">
            <v>001 00 00</v>
          </cell>
          <cell r="F852" t="str">
            <v>005</v>
          </cell>
        </row>
        <row r="853">
          <cell r="A853" t="str">
            <v>Услуги связи </v>
          </cell>
          <cell r="B853" t="str">
            <v>901</v>
          </cell>
          <cell r="C853" t="str">
            <v>07</v>
          </cell>
          <cell r="D853" t="str">
            <v>07</v>
          </cell>
          <cell r="E853" t="str">
            <v>001 00 00</v>
          </cell>
          <cell r="F853" t="str">
            <v>005</v>
          </cell>
        </row>
        <row r="854">
          <cell r="A854" t="str">
            <v>Транспортные услуги</v>
          </cell>
          <cell r="B854" t="str">
            <v>901</v>
          </cell>
          <cell r="C854" t="str">
            <v>07</v>
          </cell>
          <cell r="D854" t="str">
            <v>07</v>
          </cell>
          <cell r="E854" t="str">
            <v>001 00 00</v>
          </cell>
          <cell r="F854" t="str">
            <v>005</v>
          </cell>
        </row>
        <row r="855">
          <cell r="A855" t="str">
            <v>Коммунальные услуги</v>
          </cell>
          <cell r="B855" t="str">
            <v>901</v>
          </cell>
          <cell r="C855" t="str">
            <v>07</v>
          </cell>
          <cell r="D855" t="str">
            <v>07</v>
          </cell>
          <cell r="E855" t="str">
            <v>001 00 00</v>
          </cell>
          <cell r="F855" t="str">
            <v>005</v>
          </cell>
        </row>
        <row r="856">
          <cell r="A856" t="str">
            <v>Арендная плата за пользование иммуществом </v>
          </cell>
          <cell r="B856" t="str">
            <v>901</v>
          </cell>
          <cell r="C856" t="str">
            <v>07</v>
          </cell>
          <cell r="D856" t="str">
            <v>07</v>
          </cell>
          <cell r="E856" t="str">
            <v>001 00 00</v>
          </cell>
          <cell r="F856" t="str">
            <v>005</v>
          </cell>
        </row>
        <row r="857">
          <cell r="A857" t="str">
            <v>Услуги по содержанию иммущества</v>
          </cell>
          <cell r="B857" t="str">
            <v>901</v>
          </cell>
          <cell r="C857" t="str">
            <v>07</v>
          </cell>
          <cell r="D857" t="str">
            <v>07</v>
          </cell>
          <cell r="E857" t="str">
            <v>001 00 00</v>
          </cell>
          <cell r="F857" t="str">
            <v>005</v>
          </cell>
        </row>
        <row r="858">
          <cell r="A858" t="str">
            <v>Прочие услуги</v>
          </cell>
          <cell r="B858" t="str">
            <v>901</v>
          </cell>
          <cell r="C858" t="str">
            <v>07</v>
          </cell>
          <cell r="D858" t="str">
            <v>07</v>
          </cell>
          <cell r="E858" t="str">
            <v>001 00 00</v>
          </cell>
          <cell r="F858" t="str">
            <v>005</v>
          </cell>
        </row>
        <row r="859">
          <cell r="A859" t="str">
            <v>Прочие расходы </v>
          </cell>
          <cell r="B859" t="str">
            <v>901</v>
          </cell>
          <cell r="C859" t="str">
            <v>07</v>
          </cell>
          <cell r="D859" t="str">
            <v>07</v>
          </cell>
          <cell r="E859" t="str">
            <v>001 00 00</v>
          </cell>
          <cell r="F859" t="str">
            <v>005</v>
          </cell>
        </row>
        <row r="860">
          <cell r="A860" t="str">
            <v>Поступление нефинансовых активов</v>
          </cell>
          <cell r="B860" t="str">
            <v>901</v>
          </cell>
          <cell r="C860" t="str">
            <v>07</v>
          </cell>
          <cell r="D860" t="str">
            <v>07</v>
          </cell>
          <cell r="E860" t="str">
            <v>001 00 00</v>
          </cell>
          <cell r="F860" t="str">
            <v>005</v>
          </cell>
        </row>
        <row r="861">
          <cell r="A861" t="str">
            <v>Увеличение стоимости основных средств</v>
          </cell>
          <cell r="B861" t="str">
            <v>901</v>
          </cell>
          <cell r="C861" t="str">
            <v>07</v>
          </cell>
          <cell r="D861" t="str">
            <v>07</v>
          </cell>
          <cell r="E861" t="str">
            <v>001 00 00</v>
          </cell>
          <cell r="F861" t="str">
            <v>005</v>
          </cell>
        </row>
        <row r="862">
          <cell r="A862" t="str">
            <v>Увеличение стоимости материальных запасов</v>
          </cell>
          <cell r="B862" t="str">
            <v>901</v>
          </cell>
          <cell r="C862" t="str">
            <v>07</v>
          </cell>
          <cell r="D862" t="str">
            <v>07</v>
          </cell>
          <cell r="E862" t="str">
            <v>001 00 00</v>
          </cell>
          <cell r="F862" t="str">
            <v>005</v>
          </cell>
        </row>
        <row r="863">
          <cell r="A863" t="str">
            <v>Организационно-воспитательная работа с молодежью</v>
          </cell>
          <cell r="B863" t="str">
            <v>905</v>
          </cell>
          <cell r="C863" t="str">
            <v>07</v>
          </cell>
          <cell r="D863" t="str">
            <v>07</v>
          </cell>
          <cell r="E863" t="str">
            <v>431 00 00</v>
          </cell>
          <cell r="F863" t="str">
            <v>000 </v>
          </cell>
        </row>
        <row r="864">
          <cell r="A864" t="str">
            <v>Организационно-воспитательная работа с молодежью</v>
          </cell>
          <cell r="B864" t="str">
            <v>905</v>
          </cell>
          <cell r="C864" t="str">
            <v>07</v>
          </cell>
          <cell r="D864" t="str">
            <v>07</v>
          </cell>
          <cell r="E864" t="str">
            <v>431 00 00</v>
          </cell>
          <cell r="F864" t="str">
            <v>000 </v>
          </cell>
        </row>
        <row r="865">
          <cell r="A865" t="str">
            <v>Проведение мероприятий для детей и молодежи</v>
          </cell>
          <cell r="B865" t="str">
            <v>905</v>
          </cell>
          <cell r="C865" t="str">
            <v>07</v>
          </cell>
          <cell r="D865" t="str">
            <v>07</v>
          </cell>
          <cell r="E865" t="str">
            <v>431 01 00</v>
          </cell>
          <cell r="F865" t="str">
            <v>000</v>
          </cell>
        </row>
        <row r="866">
          <cell r="A866" t="str">
            <v>Выполнение функций органами местного самоуправления</v>
          </cell>
          <cell r="B866" t="str">
            <v>905</v>
          </cell>
          <cell r="C866" t="str">
            <v>07</v>
          </cell>
          <cell r="D866" t="str">
            <v>07</v>
          </cell>
          <cell r="E866" t="str">
            <v>431 01 00</v>
          </cell>
          <cell r="F866" t="str">
            <v>500</v>
          </cell>
        </row>
        <row r="867">
          <cell r="A867" t="str">
            <v>Долгосрочная целевая программа Иркутской области «Организация и обеспечение отдыха и оздоровления детей в Иркутской области на 2012-2014 годы»</v>
          </cell>
          <cell r="B867" t="str">
            <v>903</v>
          </cell>
          <cell r="C867" t="str">
            <v>07</v>
          </cell>
          <cell r="D867" t="str">
            <v>07</v>
          </cell>
          <cell r="E867" t="str">
            <v>522 62 00</v>
          </cell>
          <cell r="F867" t="str">
            <v>000</v>
          </cell>
        </row>
        <row r="868">
          <cell r="A868" t="str">
            <v>Выполнение функций бюджетными учреждениями ОБ</v>
          </cell>
          <cell r="B868" t="str">
            <v>903</v>
          </cell>
          <cell r="C868" t="str">
            <v>07</v>
          </cell>
          <cell r="D868" t="str">
            <v>07</v>
          </cell>
          <cell r="E868" t="str">
            <v>522 62 00</v>
          </cell>
          <cell r="F868" t="str">
            <v>001</v>
          </cell>
        </row>
        <row r="869">
          <cell r="A869" t="str">
            <v>Выполнение функций бюджетными учреждениями МБ</v>
          </cell>
          <cell r="B869" t="str">
            <v>903</v>
          </cell>
          <cell r="C869" t="str">
            <v>07</v>
          </cell>
          <cell r="D869" t="str">
            <v>07</v>
          </cell>
          <cell r="E869" t="str">
            <v>522 62 01</v>
          </cell>
          <cell r="F869" t="str">
            <v>001</v>
          </cell>
        </row>
        <row r="870">
          <cell r="A870" t="str">
            <v>Субсидии некоммерческим организациям ОБ</v>
          </cell>
          <cell r="B870" t="str">
            <v>903</v>
          </cell>
          <cell r="C870" t="str">
            <v>07</v>
          </cell>
          <cell r="D870" t="str">
            <v>07</v>
          </cell>
          <cell r="E870" t="str">
            <v>522 62 00</v>
          </cell>
          <cell r="F870" t="str">
            <v>019</v>
          </cell>
        </row>
        <row r="871">
          <cell r="A871" t="str">
            <v>Субсидии некоммерческим организациям МБ</v>
          </cell>
          <cell r="B871" t="str">
            <v>903</v>
          </cell>
          <cell r="C871" t="str">
            <v>07</v>
          </cell>
          <cell r="D871" t="str">
            <v>07</v>
          </cell>
          <cell r="E871" t="str">
            <v>522 62 01</v>
          </cell>
          <cell r="F871" t="str">
            <v>019</v>
          </cell>
        </row>
        <row r="872">
          <cell r="A872" t="str">
            <v>Транспортные услуги</v>
          </cell>
          <cell r="B872" t="str">
            <v>905</v>
          </cell>
          <cell r="C872" t="str">
            <v>07</v>
          </cell>
          <cell r="D872" t="str">
            <v>07</v>
          </cell>
          <cell r="E872" t="str">
            <v>431 01 00</v>
          </cell>
          <cell r="F872" t="str">
            <v>500</v>
          </cell>
        </row>
        <row r="873">
          <cell r="A873" t="str">
            <v>Прочие услуги</v>
          </cell>
          <cell r="B873" t="str">
            <v>905</v>
          </cell>
          <cell r="C873" t="str">
            <v>07</v>
          </cell>
          <cell r="D873" t="str">
            <v>07</v>
          </cell>
          <cell r="E873" t="str">
            <v>431 01 00</v>
          </cell>
          <cell r="F873" t="str">
            <v>500</v>
          </cell>
        </row>
        <row r="874">
          <cell r="A874" t="str">
            <v>Прочие расходы </v>
          </cell>
          <cell r="B874" t="str">
            <v>905</v>
          </cell>
          <cell r="C874" t="str">
            <v>07</v>
          </cell>
          <cell r="D874" t="str">
            <v>07</v>
          </cell>
          <cell r="E874" t="str">
            <v>431 01 00</v>
          </cell>
          <cell r="F874" t="str">
            <v>500</v>
          </cell>
        </row>
        <row r="875">
          <cell r="A875" t="str">
            <v>Поступление нефинансовых активов</v>
          </cell>
          <cell r="B875" t="str">
            <v>905</v>
          </cell>
          <cell r="C875" t="str">
            <v>07</v>
          </cell>
          <cell r="D875" t="str">
            <v>07</v>
          </cell>
          <cell r="E875" t="str">
            <v>431 01 00</v>
          </cell>
          <cell r="F875" t="str">
            <v>500</v>
          </cell>
        </row>
        <row r="876">
          <cell r="A876" t="str">
            <v>Увеличение стоимости основных средств</v>
          </cell>
          <cell r="B876" t="str">
            <v>905</v>
          </cell>
          <cell r="C876" t="str">
            <v>07</v>
          </cell>
          <cell r="D876" t="str">
            <v>07</v>
          </cell>
          <cell r="E876" t="str">
            <v>431 01 00</v>
          </cell>
          <cell r="F876" t="str">
            <v>500</v>
          </cell>
        </row>
        <row r="877">
          <cell r="A877" t="str">
            <v>Увеличение стоимости материальных запасов </v>
          </cell>
          <cell r="B877" t="str">
            <v>905</v>
          </cell>
          <cell r="C877" t="str">
            <v>07</v>
          </cell>
          <cell r="D877" t="str">
            <v>07</v>
          </cell>
          <cell r="E877" t="str">
            <v>431 01 00</v>
          </cell>
          <cell r="F877" t="str">
            <v>500</v>
          </cell>
        </row>
        <row r="878">
          <cell r="A878" t="str">
            <v>Мероприятия по проведению оздоровительной кампании детей </v>
          </cell>
          <cell r="B878" t="str">
            <v>903</v>
          </cell>
          <cell r="C878" t="str">
            <v>07</v>
          </cell>
          <cell r="D878" t="str">
            <v>07</v>
          </cell>
          <cell r="E878" t="str">
            <v>432 00 00</v>
          </cell>
          <cell r="F878" t="str">
            <v>000</v>
          </cell>
        </row>
        <row r="879">
          <cell r="A879" t="str">
            <v>Оздоровление детей </v>
          </cell>
          <cell r="B879" t="str">
            <v>903</v>
          </cell>
          <cell r="C879" t="str">
            <v>07</v>
          </cell>
          <cell r="D879" t="str">
            <v>07</v>
          </cell>
          <cell r="E879" t="str">
            <v>432 00 00</v>
          </cell>
          <cell r="F879" t="str">
            <v>000</v>
          </cell>
        </row>
        <row r="880">
          <cell r="A880" t="str">
            <v>Выполнение функций бюджетными учреждениями</v>
          </cell>
          <cell r="B880" t="str">
            <v>903</v>
          </cell>
          <cell r="C880" t="str">
            <v>07</v>
          </cell>
          <cell r="D880" t="str">
            <v>07</v>
          </cell>
          <cell r="E880" t="str">
            <v>432 03 00</v>
          </cell>
          <cell r="F880" t="str">
            <v>001</v>
          </cell>
        </row>
        <row r="881">
          <cell r="A881" t="str">
            <v>Поступление нефинансовых активов</v>
          </cell>
          <cell r="B881" t="str">
            <v>903</v>
          </cell>
          <cell r="C881" t="str">
            <v>07</v>
          </cell>
          <cell r="D881" t="str">
            <v>07</v>
          </cell>
          <cell r="E881" t="str">
            <v>432 03 00</v>
          </cell>
          <cell r="F881" t="str">
            <v>001</v>
          </cell>
        </row>
        <row r="882">
          <cell r="A882" t="str">
            <v>Увеличение стоимости материальных запасов  ОБ</v>
          </cell>
          <cell r="B882" t="str">
            <v>903</v>
          </cell>
          <cell r="C882" t="str">
            <v>07</v>
          </cell>
          <cell r="D882" t="str">
            <v>07</v>
          </cell>
          <cell r="E882" t="str">
            <v>432 03 01</v>
          </cell>
          <cell r="F882" t="str">
            <v>001</v>
          </cell>
        </row>
        <row r="883">
          <cell r="A883" t="str">
            <v>Увеличение стоимости материальных запасов МБ</v>
          </cell>
          <cell r="B883" t="str">
            <v>903</v>
          </cell>
          <cell r="C883" t="str">
            <v>07</v>
          </cell>
          <cell r="D883" t="str">
            <v>07</v>
          </cell>
          <cell r="E883" t="str">
            <v>432 03 02</v>
          </cell>
          <cell r="F883" t="str">
            <v>500</v>
          </cell>
        </row>
        <row r="884">
          <cell r="A884" t="str">
            <v>Целевые программы муниципальных образований </v>
          </cell>
          <cell r="C884" t="str">
            <v>07</v>
          </cell>
          <cell r="D884" t="str">
            <v>07</v>
          </cell>
          <cell r="E884" t="str">
            <v>795 00 00</v>
          </cell>
          <cell r="F884" t="str">
            <v>000</v>
          </cell>
        </row>
        <row r="885">
          <cell r="A885" t="str">
            <v>Круглогодичный отдых ,оздоровление и занятость детей и подростков  в 2012 г</v>
          </cell>
          <cell r="C885" t="str">
            <v>07</v>
          </cell>
          <cell r="D885" t="str">
            <v>07</v>
          </cell>
          <cell r="E885" t="str">
            <v>795 04 00</v>
          </cell>
          <cell r="F885" t="str">
            <v>000</v>
          </cell>
        </row>
        <row r="886">
          <cell r="A886" t="str">
            <v>Выполнение функций органами местного самоуправления</v>
          </cell>
          <cell r="B886" t="str">
            <v>903</v>
          </cell>
          <cell r="C886" t="str">
            <v>07</v>
          </cell>
          <cell r="D886" t="str">
            <v>07</v>
          </cell>
          <cell r="E886" t="str">
            <v>795 04 00</v>
          </cell>
          <cell r="F886" t="str">
            <v>500</v>
          </cell>
        </row>
        <row r="887">
          <cell r="A887" t="str">
            <v>Выполнение функций органами местного самоуправления</v>
          </cell>
          <cell r="B887" t="str">
            <v>905</v>
          </cell>
          <cell r="C887" t="str">
            <v>07</v>
          </cell>
          <cell r="D887" t="str">
            <v>07</v>
          </cell>
          <cell r="E887" t="str">
            <v>795 04 00</v>
          </cell>
          <cell r="F887" t="str">
            <v>500</v>
          </cell>
        </row>
        <row r="888">
          <cell r="A888" t="str">
            <v>Выполнение функций органами местного самоуправления</v>
          </cell>
          <cell r="B888" t="str">
            <v>904</v>
          </cell>
          <cell r="C888" t="str">
            <v>07</v>
          </cell>
          <cell r="D888" t="str">
            <v>07</v>
          </cell>
          <cell r="E888" t="str">
            <v>795 04 00</v>
          </cell>
          <cell r="F888" t="str">
            <v>500</v>
          </cell>
        </row>
        <row r="889">
          <cell r="A889" t="str">
            <v>Выполнение функций органами местного самоуправления</v>
          </cell>
          <cell r="B889" t="str">
            <v>902</v>
          </cell>
          <cell r="C889" t="str">
            <v>07</v>
          </cell>
          <cell r="D889" t="str">
            <v>07</v>
          </cell>
          <cell r="E889" t="str">
            <v>795 04 00</v>
          </cell>
          <cell r="F889" t="str">
            <v>500</v>
          </cell>
        </row>
        <row r="890">
          <cell r="A890" t="str">
            <v>"Будущее за молодыми на  2011-2013 г"</v>
          </cell>
          <cell r="B890" t="str">
            <v>905</v>
          </cell>
          <cell r="C890" t="str">
            <v>07</v>
          </cell>
          <cell r="D890" t="str">
            <v>07</v>
          </cell>
          <cell r="E890" t="str">
            <v>795 19 00</v>
          </cell>
          <cell r="F890" t="str">
            <v>000</v>
          </cell>
        </row>
        <row r="891">
          <cell r="A891" t="str">
            <v>Транспортные услуги</v>
          </cell>
          <cell r="B891" t="str">
            <v>903</v>
          </cell>
          <cell r="C891" t="str">
            <v>07</v>
          </cell>
          <cell r="D891" t="str">
            <v>07</v>
          </cell>
          <cell r="E891" t="str">
            <v>795 00 00</v>
          </cell>
          <cell r="F891" t="str">
            <v>500</v>
          </cell>
        </row>
        <row r="892">
          <cell r="A892" t="str">
            <v>Транспортные услуги</v>
          </cell>
          <cell r="B892" t="str">
            <v>903</v>
          </cell>
          <cell r="C892" t="str">
            <v>07</v>
          </cell>
          <cell r="D892" t="str">
            <v>07</v>
          </cell>
          <cell r="E892" t="str">
            <v>795 00 00</v>
          </cell>
          <cell r="F892" t="str">
            <v>500</v>
          </cell>
        </row>
        <row r="893">
          <cell r="B893" t="str">
            <v>905</v>
          </cell>
          <cell r="C893" t="str">
            <v>07</v>
          </cell>
          <cell r="D893" t="str">
            <v>07</v>
          </cell>
          <cell r="E893" t="str">
            <v>795 19 00</v>
          </cell>
          <cell r="F893" t="str">
            <v>500</v>
          </cell>
        </row>
        <row r="894">
          <cell r="B894" t="str">
            <v>905</v>
          </cell>
          <cell r="C894" t="str">
            <v>07</v>
          </cell>
          <cell r="D894" t="str">
            <v>07</v>
          </cell>
          <cell r="E894" t="str">
            <v>795 04 00</v>
          </cell>
          <cell r="F894" t="str">
            <v>500</v>
          </cell>
        </row>
        <row r="895">
          <cell r="A895" t="str">
            <v>Услуги по содержанию иммущества</v>
          </cell>
          <cell r="B895" t="str">
            <v>903</v>
          </cell>
          <cell r="C895" t="str">
            <v>07</v>
          </cell>
          <cell r="D895" t="str">
            <v>07</v>
          </cell>
          <cell r="E895" t="str">
            <v>795 04 00</v>
          </cell>
          <cell r="F895" t="str">
            <v>500</v>
          </cell>
        </row>
        <row r="896">
          <cell r="A896" t="str">
            <v>Прочие услуги</v>
          </cell>
          <cell r="B896" t="str">
            <v>903</v>
          </cell>
          <cell r="C896" t="str">
            <v>07</v>
          </cell>
          <cell r="D896" t="str">
            <v>07</v>
          </cell>
          <cell r="E896" t="str">
            <v>795 00 00</v>
          </cell>
          <cell r="F896" t="str">
            <v>500</v>
          </cell>
        </row>
        <row r="897">
          <cell r="A897" t="str">
            <v>Транспортные услуги</v>
          </cell>
          <cell r="B897" t="str">
            <v>905</v>
          </cell>
          <cell r="C897" t="str">
            <v>07</v>
          </cell>
          <cell r="D897" t="str">
            <v>07</v>
          </cell>
          <cell r="E897" t="str">
            <v>795 00 00</v>
          </cell>
          <cell r="F897" t="str">
            <v>500</v>
          </cell>
        </row>
        <row r="898">
          <cell r="A898" t="str">
            <v>Услуги по содержанию иммущества</v>
          </cell>
          <cell r="B898" t="str">
            <v>903</v>
          </cell>
          <cell r="C898" t="str">
            <v>07</v>
          </cell>
          <cell r="D898" t="str">
            <v>07</v>
          </cell>
          <cell r="E898" t="str">
            <v>795 00 00</v>
          </cell>
          <cell r="F898" t="str">
            <v>500</v>
          </cell>
        </row>
        <row r="899">
          <cell r="A899" t="str">
            <v>Прочие услуги</v>
          </cell>
          <cell r="B899" t="str">
            <v>905</v>
          </cell>
          <cell r="C899" t="str">
            <v>07</v>
          </cell>
          <cell r="D899" t="str">
            <v>07</v>
          </cell>
          <cell r="E899" t="str">
            <v>795 04 00</v>
          </cell>
          <cell r="F899" t="str">
            <v>500</v>
          </cell>
        </row>
        <row r="900">
          <cell r="A900" t="str">
            <v>Прочие услуги</v>
          </cell>
          <cell r="B900" t="str">
            <v>906</v>
          </cell>
          <cell r="C900" t="str">
            <v>07</v>
          </cell>
          <cell r="D900" t="str">
            <v>07</v>
          </cell>
          <cell r="E900" t="str">
            <v>795 00 00</v>
          </cell>
          <cell r="F900" t="str">
            <v>500</v>
          </cell>
        </row>
        <row r="901">
          <cell r="A901" t="str">
            <v>Прочие услуги</v>
          </cell>
          <cell r="B901" t="str">
            <v>907</v>
          </cell>
          <cell r="C901" t="str">
            <v>07</v>
          </cell>
          <cell r="D901" t="str">
            <v>07</v>
          </cell>
          <cell r="E901" t="str">
            <v>795 00 00</v>
          </cell>
          <cell r="F901" t="str">
            <v>500</v>
          </cell>
        </row>
        <row r="902">
          <cell r="A902" t="str">
            <v>Прочие расходы </v>
          </cell>
          <cell r="B902" t="str">
            <v>908</v>
          </cell>
          <cell r="C902" t="str">
            <v>07</v>
          </cell>
          <cell r="D902" t="str">
            <v>07</v>
          </cell>
          <cell r="E902" t="str">
            <v>795 00 00</v>
          </cell>
          <cell r="F902" t="str">
            <v>500</v>
          </cell>
        </row>
        <row r="903">
          <cell r="A903" t="str">
            <v>Прочие услуги</v>
          </cell>
          <cell r="B903" t="str">
            <v>903</v>
          </cell>
          <cell r="C903" t="str">
            <v>07</v>
          </cell>
          <cell r="D903" t="str">
            <v>07</v>
          </cell>
          <cell r="E903" t="str">
            <v>795 04 00</v>
          </cell>
          <cell r="F903" t="str">
            <v>500</v>
          </cell>
        </row>
        <row r="904">
          <cell r="A904" t="str">
            <v>Прочие услуги "Круглогодичный отдых"</v>
          </cell>
          <cell r="B904" t="str">
            <v>902</v>
          </cell>
          <cell r="C904" t="str">
            <v>07</v>
          </cell>
          <cell r="D904" t="str">
            <v>07</v>
          </cell>
          <cell r="E904" t="str">
            <v>795 04 00</v>
          </cell>
          <cell r="F904" t="str">
            <v>500</v>
          </cell>
        </row>
        <row r="905">
          <cell r="A905" t="str">
            <v>Прочие услуги "Круглогодичный отдых"</v>
          </cell>
          <cell r="B905" t="str">
            <v>904</v>
          </cell>
          <cell r="C905" t="str">
            <v>07</v>
          </cell>
          <cell r="D905" t="str">
            <v>07</v>
          </cell>
          <cell r="E905" t="str">
            <v>795 04 00</v>
          </cell>
          <cell r="F905" t="str">
            <v>500</v>
          </cell>
        </row>
        <row r="906">
          <cell r="A906" t="str">
            <v>Прочие расходы </v>
          </cell>
          <cell r="B906" t="str">
            <v>905</v>
          </cell>
          <cell r="C906" t="str">
            <v>07</v>
          </cell>
          <cell r="D906" t="str">
            <v>07</v>
          </cell>
          <cell r="E906" t="str">
            <v>795 00 00</v>
          </cell>
          <cell r="F906" t="str">
            <v>500</v>
          </cell>
        </row>
        <row r="907">
          <cell r="B907" t="str">
            <v>905</v>
          </cell>
          <cell r="C907" t="str">
            <v>07</v>
          </cell>
          <cell r="D907" t="str">
            <v>07</v>
          </cell>
          <cell r="E907" t="str">
            <v>795 19 00</v>
          </cell>
          <cell r="F907" t="str">
            <v>500</v>
          </cell>
        </row>
        <row r="908">
          <cell r="B908" t="str">
            <v>905</v>
          </cell>
          <cell r="C908" t="str">
            <v>07</v>
          </cell>
          <cell r="D908" t="str">
            <v>07</v>
          </cell>
          <cell r="E908" t="str">
            <v>795 04 00</v>
          </cell>
          <cell r="F908" t="str">
            <v>500</v>
          </cell>
        </row>
        <row r="909">
          <cell r="B909" t="str">
            <v>903</v>
          </cell>
          <cell r="C909" t="str">
            <v>07</v>
          </cell>
          <cell r="D909" t="str">
            <v>07</v>
          </cell>
          <cell r="E909" t="str">
            <v>795 04 00</v>
          </cell>
          <cell r="F909" t="str">
            <v>500</v>
          </cell>
        </row>
        <row r="910">
          <cell r="A910" t="str">
            <v>Поступление нефинансовых активов</v>
          </cell>
          <cell r="C910" t="str">
            <v>07</v>
          </cell>
          <cell r="D910" t="str">
            <v>07</v>
          </cell>
          <cell r="E910" t="str">
            <v>795 00 00</v>
          </cell>
          <cell r="F910" t="str">
            <v>500</v>
          </cell>
        </row>
        <row r="911">
          <cell r="A911" t="str">
            <v>Увеличение стоимости основных средств</v>
          </cell>
          <cell r="B911" t="str">
            <v>910</v>
          </cell>
          <cell r="C911" t="str">
            <v>07</v>
          </cell>
          <cell r="D911" t="str">
            <v>07</v>
          </cell>
          <cell r="E911" t="str">
            <v>795 00 00</v>
          </cell>
          <cell r="F911" t="str">
            <v>500</v>
          </cell>
        </row>
        <row r="912">
          <cell r="A912" t="str">
            <v>Увеличение стоимости материальных запасов</v>
          </cell>
          <cell r="B912" t="str">
            <v>911</v>
          </cell>
          <cell r="C912" t="str">
            <v>07</v>
          </cell>
          <cell r="D912" t="str">
            <v>07</v>
          </cell>
          <cell r="E912" t="str">
            <v>795 00 00</v>
          </cell>
          <cell r="F912" t="str">
            <v>500</v>
          </cell>
        </row>
        <row r="913">
          <cell r="A913" t="str">
            <v>Увеличение стоимости материальных запасов</v>
          </cell>
          <cell r="B913" t="str">
            <v>912</v>
          </cell>
          <cell r="C913" t="str">
            <v>07</v>
          </cell>
          <cell r="D913" t="str">
            <v>07</v>
          </cell>
          <cell r="E913" t="str">
            <v>795 00 00</v>
          </cell>
          <cell r="F913" t="str">
            <v>500</v>
          </cell>
        </row>
        <row r="914">
          <cell r="A914" t="str">
            <v>Увеличение стоймости основных средств</v>
          </cell>
          <cell r="B914" t="str">
            <v>905</v>
          </cell>
          <cell r="C914" t="str">
            <v>07</v>
          </cell>
          <cell r="D914" t="str">
            <v>07</v>
          </cell>
          <cell r="E914" t="str">
            <v>795 00 00</v>
          </cell>
          <cell r="F914" t="str">
            <v>500</v>
          </cell>
        </row>
        <row r="915">
          <cell r="B915" t="str">
            <v>905</v>
          </cell>
          <cell r="C915" t="str">
            <v>07</v>
          </cell>
          <cell r="D915" t="str">
            <v>07</v>
          </cell>
          <cell r="E915" t="str">
            <v>795 19 00</v>
          </cell>
          <cell r="F915" t="str">
            <v>500</v>
          </cell>
        </row>
        <row r="916">
          <cell r="A916" t="str">
            <v>Увеличение стоимости основных средств</v>
          </cell>
          <cell r="B916" t="str">
            <v>903</v>
          </cell>
          <cell r="C916" t="str">
            <v>07</v>
          </cell>
          <cell r="D916" t="str">
            <v>07</v>
          </cell>
          <cell r="E916" t="str">
            <v>795 04 00</v>
          </cell>
          <cell r="F916" t="str">
            <v>500</v>
          </cell>
        </row>
        <row r="917">
          <cell r="A917" t="str">
            <v>Увеличение стоимости материальных запасов</v>
          </cell>
          <cell r="B917" t="str">
            <v>903</v>
          </cell>
          <cell r="C917" t="str">
            <v>07</v>
          </cell>
          <cell r="D917" t="str">
            <v>07</v>
          </cell>
          <cell r="E917" t="str">
            <v>795 00 00</v>
          </cell>
          <cell r="F917" t="str">
            <v>500</v>
          </cell>
        </row>
        <row r="918">
          <cell r="B918" t="str">
            <v>905</v>
          </cell>
          <cell r="C918" t="str">
            <v>07</v>
          </cell>
          <cell r="D918" t="str">
            <v>07</v>
          </cell>
          <cell r="E918" t="str">
            <v>795 19 00</v>
          </cell>
          <cell r="F918" t="str">
            <v>500</v>
          </cell>
        </row>
        <row r="919">
          <cell r="B919" t="str">
            <v>905</v>
          </cell>
          <cell r="C919" t="str">
            <v>07</v>
          </cell>
          <cell r="D919" t="str">
            <v>07</v>
          </cell>
          <cell r="E919" t="str">
            <v>795 04 00</v>
          </cell>
          <cell r="F919" t="str">
            <v>500</v>
          </cell>
        </row>
        <row r="920">
          <cell r="A920" t="str">
            <v>Увеличение стоимости материальных запасов</v>
          </cell>
          <cell r="B920" t="str">
            <v>903</v>
          </cell>
          <cell r="C920" t="str">
            <v>07</v>
          </cell>
          <cell r="D920" t="str">
            <v>07</v>
          </cell>
          <cell r="E920" t="str">
            <v>795 04 00</v>
          </cell>
          <cell r="F920" t="str">
            <v>500</v>
          </cell>
        </row>
        <row r="921">
          <cell r="A921" t="str">
            <v>Увеличение стоимости материальных запасов</v>
          </cell>
          <cell r="B921" t="str">
            <v>905</v>
          </cell>
          <cell r="C921" t="str">
            <v>07</v>
          </cell>
          <cell r="D921" t="str">
            <v>07</v>
          </cell>
          <cell r="E921" t="str">
            <v>795 00 00</v>
          </cell>
          <cell r="F921" t="str">
            <v>500</v>
          </cell>
        </row>
        <row r="922">
          <cell r="B922" t="str">
            <v>905</v>
          </cell>
          <cell r="C922" t="str">
            <v>07</v>
          </cell>
          <cell r="D922" t="str">
            <v>07</v>
          </cell>
          <cell r="E922" t="str">
            <v>795 19 00</v>
          </cell>
          <cell r="F922" t="str">
            <v>500</v>
          </cell>
        </row>
        <row r="923">
          <cell r="A923" t="str">
            <v>Выполнение функций органами местного самоуправления</v>
          </cell>
          <cell r="B923" t="str">
            <v>905</v>
          </cell>
          <cell r="C923" t="str">
            <v>07</v>
          </cell>
          <cell r="D923" t="str">
            <v>07</v>
          </cell>
          <cell r="E923" t="str">
            <v>795 19 00</v>
          </cell>
          <cell r="F923" t="str">
            <v>500</v>
          </cell>
        </row>
        <row r="924">
          <cell r="A924" t="str">
            <v>Другие вопросы в области образования</v>
          </cell>
          <cell r="B924" t="str">
            <v>903</v>
          </cell>
          <cell r="C924" t="str">
            <v>07</v>
          </cell>
          <cell r="D924" t="str">
            <v>09</v>
          </cell>
          <cell r="E924" t="str">
            <v>000 00 00</v>
          </cell>
          <cell r="F924" t="str">
            <v>000</v>
          </cell>
        </row>
        <row r="925">
          <cell r="A925" t="str">
            <v>Руководство и управление в сфере установленных функций органов государственной власти субъектов РФ и органов местного самоуправления</v>
          </cell>
          <cell r="B925" t="str">
            <v>903</v>
          </cell>
          <cell r="C925" t="str">
            <v>07</v>
          </cell>
          <cell r="D925" t="str">
            <v>09</v>
          </cell>
          <cell r="E925" t="str">
            <v>002 00 00</v>
          </cell>
          <cell r="F925" t="str">
            <v>000</v>
          </cell>
        </row>
        <row r="926">
          <cell r="A926" t="str">
            <v>Центральный аппарат</v>
          </cell>
          <cell r="B926" t="str">
            <v>903</v>
          </cell>
          <cell r="C926" t="str">
            <v>07</v>
          </cell>
          <cell r="D926" t="str">
            <v>09</v>
          </cell>
          <cell r="E926" t="str">
            <v>002 04 00</v>
          </cell>
          <cell r="F926" t="str">
            <v>000</v>
          </cell>
        </row>
        <row r="927">
          <cell r="A927" t="str">
            <v>Выполнение функций органами местного самоуправления</v>
          </cell>
          <cell r="B927" t="str">
            <v>903</v>
          </cell>
          <cell r="C927" t="str">
            <v>07</v>
          </cell>
          <cell r="D927" t="str">
            <v>09</v>
          </cell>
          <cell r="E927" t="str">
            <v>002 04 00</v>
          </cell>
          <cell r="F927" t="str">
            <v>500</v>
          </cell>
        </row>
        <row r="928">
          <cell r="A928" t="str">
            <v>Расходы</v>
          </cell>
          <cell r="B928" t="str">
            <v>903</v>
          </cell>
          <cell r="C928" t="str">
            <v>07</v>
          </cell>
          <cell r="D928" t="str">
            <v>09</v>
          </cell>
          <cell r="E928" t="str">
            <v>002 04 00</v>
          </cell>
          <cell r="F928" t="str">
            <v>500</v>
          </cell>
        </row>
        <row r="929">
          <cell r="A929" t="str">
            <v>Оплата труда и начисления на оплату труда</v>
          </cell>
          <cell r="B929" t="str">
            <v>903</v>
          </cell>
          <cell r="C929" t="str">
            <v>07</v>
          </cell>
          <cell r="D929" t="str">
            <v>09</v>
          </cell>
          <cell r="E929" t="str">
            <v>002 04 00</v>
          </cell>
          <cell r="F929" t="str">
            <v>500</v>
          </cell>
        </row>
        <row r="930">
          <cell r="A930" t="str">
            <v>Заработная плата</v>
          </cell>
          <cell r="B930" t="str">
            <v>903</v>
          </cell>
          <cell r="C930" t="str">
            <v>07</v>
          </cell>
          <cell r="D930" t="str">
            <v>09</v>
          </cell>
          <cell r="E930" t="str">
            <v>002 04 00</v>
          </cell>
          <cell r="F930" t="str">
            <v>500</v>
          </cell>
        </row>
        <row r="931">
          <cell r="A931" t="str">
            <v>Прочие выплаты</v>
          </cell>
          <cell r="B931" t="str">
            <v>903</v>
          </cell>
          <cell r="C931" t="str">
            <v>07</v>
          </cell>
          <cell r="D931" t="str">
            <v>09</v>
          </cell>
          <cell r="E931" t="str">
            <v>002 04 00</v>
          </cell>
          <cell r="F931" t="str">
            <v>500</v>
          </cell>
        </row>
        <row r="932">
          <cell r="A932" t="str">
            <v>Начисление на оплату труда</v>
          </cell>
          <cell r="B932" t="str">
            <v>903</v>
          </cell>
          <cell r="C932" t="str">
            <v>07</v>
          </cell>
          <cell r="D932" t="str">
            <v>09</v>
          </cell>
          <cell r="E932" t="str">
            <v>002 04 00</v>
          </cell>
          <cell r="F932" t="str">
            <v>500</v>
          </cell>
        </row>
        <row r="933">
          <cell r="A933" t="str">
            <v>Приобретение услуг</v>
          </cell>
          <cell r="B933" t="str">
            <v>903</v>
          </cell>
          <cell r="C933" t="str">
            <v>07</v>
          </cell>
          <cell r="D933" t="str">
            <v>09</v>
          </cell>
          <cell r="E933" t="str">
            <v>002 04 00</v>
          </cell>
          <cell r="F933" t="str">
            <v>500</v>
          </cell>
        </row>
        <row r="934">
          <cell r="A934" t="str">
            <v>Услуги связи </v>
          </cell>
          <cell r="B934" t="str">
            <v>903</v>
          </cell>
          <cell r="C934" t="str">
            <v>07</v>
          </cell>
          <cell r="D934" t="str">
            <v>09</v>
          </cell>
          <cell r="E934" t="str">
            <v>002 04 00</v>
          </cell>
          <cell r="F934" t="str">
            <v>500</v>
          </cell>
        </row>
        <row r="935">
          <cell r="A935" t="str">
            <v>Транспортные услуги</v>
          </cell>
          <cell r="B935" t="str">
            <v>903</v>
          </cell>
          <cell r="C935" t="str">
            <v>07</v>
          </cell>
          <cell r="D935" t="str">
            <v>09</v>
          </cell>
          <cell r="E935" t="str">
            <v>002 04 00</v>
          </cell>
          <cell r="F935" t="str">
            <v>500</v>
          </cell>
        </row>
        <row r="936">
          <cell r="A936" t="str">
            <v>Коммунальные услуги</v>
          </cell>
          <cell r="B936" t="str">
            <v>903</v>
          </cell>
          <cell r="C936" t="str">
            <v>07</v>
          </cell>
          <cell r="D936" t="str">
            <v>09</v>
          </cell>
          <cell r="E936" t="str">
            <v>002 04 00</v>
          </cell>
          <cell r="F936" t="str">
            <v>500</v>
          </cell>
        </row>
        <row r="937">
          <cell r="A937" t="str">
            <v>Арендная плата за пользование иммуществом </v>
          </cell>
          <cell r="B937" t="str">
            <v>903</v>
          </cell>
          <cell r="C937" t="str">
            <v>07</v>
          </cell>
          <cell r="D937" t="str">
            <v>09</v>
          </cell>
          <cell r="E937" t="str">
            <v>002 04 00</v>
          </cell>
          <cell r="F937" t="str">
            <v>500</v>
          </cell>
        </row>
        <row r="938">
          <cell r="A938" t="str">
            <v>Услуги по содержанию иммущества</v>
          </cell>
          <cell r="B938" t="str">
            <v>903</v>
          </cell>
          <cell r="C938" t="str">
            <v>07</v>
          </cell>
          <cell r="D938" t="str">
            <v>09</v>
          </cell>
          <cell r="E938" t="str">
            <v>002 04 00</v>
          </cell>
          <cell r="F938" t="str">
            <v>500</v>
          </cell>
        </row>
        <row r="939">
          <cell r="A939" t="str">
            <v>Прочие услуги</v>
          </cell>
          <cell r="B939" t="str">
            <v>903</v>
          </cell>
          <cell r="C939" t="str">
            <v>07</v>
          </cell>
          <cell r="D939" t="str">
            <v>09</v>
          </cell>
          <cell r="E939" t="str">
            <v>002 04 00</v>
          </cell>
          <cell r="F939" t="str">
            <v>500</v>
          </cell>
        </row>
        <row r="940">
          <cell r="A940" t="str">
            <v>Прочие расходы </v>
          </cell>
          <cell r="B940" t="str">
            <v>903</v>
          </cell>
          <cell r="C940" t="str">
            <v>07</v>
          </cell>
          <cell r="D940" t="str">
            <v>09</v>
          </cell>
          <cell r="E940" t="str">
            <v>002 04 00</v>
          </cell>
          <cell r="F940" t="str">
            <v>500</v>
          </cell>
        </row>
        <row r="941">
          <cell r="A941" t="str">
            <v>Поступление нефинансовых активов</v>
          </cell>
          <cell r="B941" t="str">
            <v>903</v>
          </cell>
          <cell r="C941" t="str">
            <v>07</v>
          </cell>
          <cell r="D941" t="str">
            <v>09</v>
          </cell>
          <cell r="E941" t="str">
            <v>002 04 00</v>
          </cell>
          <cell r="F941" t="str">
            <v>500</v>
          </cell>
        </row>
        <row r="942">
          <cell r="A942" t="str">
            <v>Увеличение стоимости основных средств</v>
          </cell>
          <cell r="B942" t="str">
            <v>903</v>
          </cell>
          <cell r="C942" t="str">
            <v>07</v>
          </cell>
          <cell r="D942" t="str">
            <v>09</v>
          </cell>
          <cell r="E942" t="str">
            <v>002 04 00</v>
          </cell>
          <cell r="F942" t="str">
            <v>500</v>
          </cell>
        </row>
        <row r="943">
          <cell r="A943" t="str">
            <v>Увеличение стоимости материальных запасов</v>
          </cell>
          <cell r="B943" t="str">
            <v>903</v>
          </cell>
          <cell r="C943" t="str">
            <v>07</v>
          </cell>
          <cell r="D943" t="str">
            <v>09</v>
          </cell>
          <cell r="E943" t="str">
            <v>002 04 00</v>
          </cell>
          <cell r="F943" t="str">
            <v>500</v>
          </cell>
        </row>
        <row r="944">
          <cell r="A944" t="str">
            <v>Оплата труда и начисления на оплату труда</v>
          </cell>
          <cell r="B944" t="str">
            <v>901</v>
          </cell>
          <cell r="C944" t="str">
            <v>07</v>
          </cell>
          <cell r="D944" t="str">
            <v>09</v>
          </cell>
          <cell r="E944" t="str">
            <v>001 00 00</v>
          </cell>
          <cell r="F944" t="str">
            <v>005</v>
          </cell>
        </row>
        <row r="945">
          <cell r="A945" t="str">
            <v>Заработная плата</v>
          </cell>
          <cell r="B945" t="str">
            <v>901</v>
          </cell>
          <cell r="C945" t="str">
            <v>07</v>
          </cell>
          <cell r="D945" t="str">
            <v>09</v>
          </cell>
          <cell r="E945" t="str">
            <v>001 00 00</v>
          </cell>
          <cell r="F945" t="str">
            <v>005</v>
          </cell>
        </row>
        <row r="946">
          <cell r="A946" t="str">
            <v>Прочие выплаты</v>
          </cell>
          <cell r="B946" t="str">
            <v>901</v>
          </cell>
          <cell r="C946" t="str">
            <v>07</v>
          </cell>
          <cell r="D946" t="str">
            <v>09</v>
          </cell>
          <cell r="E946" t="str">
            <v>001 00 00</v>
          </cell>
          <cell r="F946" t="str">
            <v>005</v>
          </cell>
        </row>
        <row r="947">
          <cell r="A947" t="str">
            <v>Начисление на оплату труда</v>
          </cell>
          <cell r="B947" t="str">
            <v>901</v>
          </cell>
          <cell r="C947" t="str">
            <v>07</v>
          </cell>
          <cell r="D947" t="str">
            <v>09</v>
          </cell>
          <cell r="E947" t="str">
            <v>001 00 00</v>
          </cell>
          <cell r="F947" t="str">
            <v>005</v>
          </cell>
        </row>
        <row r="948">
          <cell r="A948" t="str">
            <v>Приобретение услуг</v>
          </cell>
          <cell r="B948" t="str">
            <v>901</v>
          </cell>
          <cell r="C948" t="str">
            <v>07</v>
          </cell>
          <cell r="D948" t="str">
            <v>09</v>
          </cell>
          <cell r="E948" t="str">
            <v>001 00 00</v>
          </cell>
          <cell r="F948" t="str">
            <v>005</v>
          </cell>
        </row>
        <row r="949">
          <cell r="A949" t="str">
            <v>Услуги связи </v>
          </cell>
          <cell r="B949" t="str">
            <v>901</v>
          </cell>
          <cell r="C949" t="str">
            <v>07</v>
          </cell>
          <cell r="D949" t="str">
            <v>09</v>
          </cell>
          <cell r="E949" t="str">
            <v>001 00 00</v>
          </cell>
          <cell r="F949" t="str">
            <v>005</v>
          </cell>
        </row>
        <row r="950">
          <cell r="A950" t="str">
            <v>Транспортные услуги</v>
          </cell>
          <cell r="B950" t="str">
            <v>901</v>
          </cell>
          <cell r="C950" t="str">
            <v>07</v>
          </cell>
          <cell r="D950" t="str">
            <v>09</v>
          </cell>
          <cell r="E950" t="str">
            <v>001 00 00</v>
          </cell>
          <cell r="F950" t="str">
            <v>005</v>
          </cell>
        </row>
        <row r="951">
          <cell r="A951" t="str">
            <v>Коммунальные услуги</v>
          </cell>
          <cell r="B951" t="str">
            <v>901</v>
          </cell>
          <cell r="C951" t="str">
            <v>07</v>
          </cell>
          <cell r="D951" t="str">
            <v>09</v>
          </cell>
          <cell r="E951" t="str">
            <v>001 00 00</v>
          </cell>
          <cell r="F951" t="str">
            <v>005</v>
          </cell>
        </row>
        <row r="952">
          <cell r="A952" t="str">
            <v>Арендная плата за пользование иммуществом </v>
          </cell>
          <cell r="B952" t="str">
            <v>901</v>
          </cell>
          <cell r="C952" t="str">
            <v>07</v>
          </cell>
          <cell r="D952" t="str">
            <v>09</v>
          </cell>
          <cell r="E952" t="str">
            <v>001 00 00</v>
          </cell>
          <cell r="F952" t="str">
            <v>005</v>
          </cell>
        </row>
        <row r="953">
          <cell r="A953" t="str">
            <v>Услуги по содержанию иммущества</v>
          </cell>
          <cell r="B953" t="str">
            <v>901</v>
          </cell>
          <cell r="C953" t="str">
            <v>07</v>
          </cell>
          <cell r="D953" t="str">
            <v>09</v>
          </cell>
          <cell r="E953" t="str">
            <v>001 00 00</v>
          </cell>
          <cell r="F953" t="str">
            <v>005</v>
          </cell>
        </row>
        <row r="954">
          <cell r="A954" t="str">
            <v>Прочие услуги</v>
          </cell>
          <cell r="B954" t="str">
            <v>901</v>
          </cell>
          <cell r="C954" t="str">
            <v>07</v>
          </cell>
          <cell r="D954" t="str">
            <v>09</v>
          </cell>
          <cell r="E954" t="str">
            <v>001 00 00</v>
          </cell>
          <cell r="F954" t="str">
            <v>005</v>
          </cell>
        </row>
        <row r="955">
          <cell r="A955" t="str">
            <v>Прочие расходы </v>
          </cell>
          <cell r="B955" t="str">
            <v>901</v>
          </cell>
          <cell r="C955" t="str">
            <v>07</v>
          </cell>
          <cell r="D955" t="str">
            <v>09</v>
          </cell>
          <cell r="E955" t="str">
            <v>001 00 00</v>
          </cell>
          <cell r="F955" t="str">
            <v>005</v>
          </cell>
        </row>
        <row r="956">
          <cell r="A956" t="str">
            <v>Поступление нефинансовых активов</v>
          </cell>
          <cell r="B956" t="str">
            <v>901</v>
          </cell>
          <cell r="C956" t="str">
            <v>07</v>
          </cell>
          <cell r="D956" t="str">
            <v>09</v>
          </cell>
          <cell r="E956" t="str">
            <v>001 00 00</v>
          </cell>
          <cell r="F956" t="str">
            <v>005</v>
          </cell>
        </row>
        <row r="957">
          <cell r="A957" t="str">
            <v>Увеличение стоимости основных средств</v>
          </cell>
          <cell r="B957" t="str">
            <v>901</v>
          </cell>
          <cell r="C957" t="str">
            <v>07</v>
          </cell>
          <cell r="D957" t="str">
            <v>09</v>
          </cell>
          <cell r="E957" t="str">
            <v>001 00 00</v>
          </cell>
          <cell r="F957" t="str">
            <v>005</v>
          </cell>
        </row>
        <row r="958">
          <cell r="A958" t="str">
            <v>Увеличение стоимости материальных запасов</v>
          </cell>
          <cell r="B958" t="str">
            <v>901</v>
          </cell>
          <cell r="C958" t="str">
            <v>07</v>
          </cell>
          <cell r="D958" t="str">
            <v>09</v>
          </cell>
          <cell r="E958" t="str">
            <v>001 00 00</v>
          </cell>
          <cell r="F958" t="str">
            <v>005</v>
          </cell>
        </row>
        <row r="959">
          <cell r="A959" t="str">
            <v>Межбюджетные трансферты на погашение кредиторской задолженности муниципальных учреждений по страховым взносам в Пенсионный фонд Российской Федерации на обязательное пенсионное страхование, сложившейся за период с 1 января 2001 года до 1 января 2010 года</v>
          </cell>
          <cell r="B959" t="str">
            <v>903</v>
          </cell>
          <cell r="C959" t="str">
            <v>07</v>
          </cell>
          <cell r="D959" t="str">
            <v>09</v>
          </cell>
          <cell r="E959" t="str">
            <v>603 00 00</v>
          </cell>
          <cell r="F959" t="str">
            <v>001</v>
          </cell>
        </row>
        <row r="960">
          <cell r="B960" t="str">
            <v>903</v>
          </cell>
          <cell r="C960" t="str">
            <v>07</v>
          </cell>
          <cell r="D960" t="str">
            <v>09</v>
          </cell>
          <cell r="E960" t="str">
            <v>603 00 00</v>
          </cell>
          <cell r="F960" t="str">
            <v>001</v>
          </cell>
        </row>
        <row r="961">
          <cell r="B961" t="str">
            <v>903</v>
          </cell>
          <cell r="C961" t="str">
            <v>07</v>
          </cell>
          <cell r="D961" t="str">
            <v>09</v>
          </cell>
          <cell r="E961" t="str">
            <v>603 00 00</v>
          </cell>
          <cell r="F961" t="str">
            <v>001</v>
          </cell>
        </row>
        <row r="962">
          <cell r="A962" t="str">
            <v>Выполнение функций органами местного самоуправления</v>
          </cell>
          <cell r="B962" t="str">
            <v>903</v>
          </cell>
          <cell r="C962" t="str">
            <v>07</v>
          </cell>
          <cell r="D962" t="str">
            <v>09</v>
          </cell>
          <cell r="E962" t="str">
            <v>603 00 00</v>
          </cell>
          <cell r="F962" t="str">
            <v>001</v>
          </cell>
        </row>
        <row r="963">
          <cell r="A963" t="str">
            <v>Расходы</v>
          </cell>
          <cell r="B963" t="str">
            <v>903</v>
          </cell>
          <cell r="C963" t="str">
            <v>07</v>
          </cell>
          <cell r="D963" t="str">
            <v>09</v>
          </cell>
          <cell r="E963" t="str">
            <v>603 00 00</v>
          </cell>
          <cell r="F963" t="str">
            <v>001</v>
          </cell>
        </row>
        <row r="964">
          <cell r="A964" t="str">
            <v>Оплата труда и начисления на оплату труда</v>
          </cell>
          <cell r="B964" t="str">
            <v>903</v>
          </cell>
          <cell r="C964" t="str">
            <v>07</v>
          </cell>
          <cell r="D964" t="str">
            <v>09</v>
          </cell>
          <cell r="E964" t="str">
            <v>603 00 00</v>
          </cell>
          <cell r="F964" t="str">
            <v>001</v>
          </cell>
        </row>
        <row r="965">
          <cell r="A965" t="str">
            <v>Начисление на оплату труда</v>
          </cell>
          <cell r="B965" t="str">
            <v>903</v>
          </cell>
          <cell r="C965" t="str">
            <v>07</v>
          </cell>
          <cell r="D965" t="str">
            <v>09</v>
          </cell>
          <cell r="E965" t="str">
            <v>603 00 00</v>
          </cell>
          <cell r="F965" t="str">
            <v>001</v>
          </cell>
        </row>
        <row r="966">
          <cell r="A966" t="str">
            <v>Мероприятия в области образования </v>
          </cell>
          <cell r="B966" t="str">
            <v>903</v>
          </cell>
          <cell r="C966" t="str">
            <v>07</v>
          </cell>
          <cell r="D966" t="str">
            <v>09</v>
          </cell>
          <cell r="E966" t="str">
            <v>436 00 00</v>
          </cell>
          <cell r="F966" t="str">
            <v>000</v>
          </cell>
        </row>
        <row r="967">
          <cell r="A967" t="str">
            <v>Проведение мероприятий для детей и молодежи</v>
          </cell>
          <cell r="B967" t="str">
            <v>903</v>
          </cell>
          <cell r="C967" t="str">
            <v>07</v>
          </cell>
          <cell r="D967" t="str">
            <v>09</v>
          </cell>
          <cell r="E967" t="str">
            <v>436 09 00</v>
          </cell>
          <cell r="F967" t="str">
            <v>000</v>
          </cell>
        </row>
        <row r="968">
          <cell r="A968" t="str">
            <v>Выполнение функций органами местного самоуправления</v>
          </cell>
          <cell r="B968" t="str">
            <v>903</v>
          </cell>
          <cell r="C968" t="str">
            <v>07</v>
          </cell>
          <cell r="D968" t="str">
            <v>09</v>
          </cell>
          <cell r="E968" t="str">
            <v>436 09 00</v>
          </cell>
          <cell r="F968" t="str">
            <v>500</v>
          </cell>
        </row>
        <row r="969">
          <cell r="A969" t="str">
            <v>Расходы</v>
          </cell>
          <cell r="B969" t="str">
            <v>903</v>
          </cell>
          <cell r="C969" t="str">
            <v>07</v>
          </cell>
          <cell r="D969" t="str">
            <v>09</v>
          </cell>
          <cell r="E969" t="str">
            <v>436 09 00</v>
          </cell>
          <cell r="F969" t="str">
            <v>500</v>
          </cell>
        </row>
        <row r="970">
          <cell r="A970" t="str">
            <v>Приобретение услуг</v>
          </cell>
          <cell r="B970" t="str">
            <v>903</v>
          </cell>
          <cell r="C970" t="str">
            <v>07</v>
          </cell>
          <cell r="D970" t="str">
            <v>09</v>
          </cell>
          <cell r="E970" t="str">
            <v>436 09 00</v>
          </cell>
          <cell r="F970" t="str">
            <v>500</v>
          </cell>
        </row>
        <row r="971">
          <cell r="A971" t="str">
            <v>Транспортные услуги</v>
          </cell>
          <cell r="B971" t="str">
            <v>903</v>
          </cell>
          <cell r="C971" t="str">
            <v>07</v>
          </cell>
          <cell r="D971" t="str">
            <v>09</v>
          </cell>
          <cell r="E971" t="str">
            <v>436 09 00</v>
          </cell>
          <cell r="F971" t="str">
            <v>500</v>
          </cell>
        </row>
        <row r="972">
          <cell r="A972" t="str">
            <v>Прочие услуги </v>
          </cell>
          <cell r="B972" t="str">
            <v>903</v>
          </cell>
          <cell r="C972" t="str">
            <v>07</v>
          </cell>
          <cell r="D972" t="str">
            <v>09</v>
          </cell>
          <cell r="E972" t="str">
            <v>436 09 00</v>
          </cell>
          <cell r="F972" t="str">
            <v>500</v>
          </cell>
        </row>
        <row r="973">
          <cell r="A973" t="str">
            <v>Прочие расходы </v>
          </cell>
          <cell r="B973" t="str">
            <v>903</v>
          </cell>
          <cell r="C973" t="str">
            <v>07</v>
          </cell>
          <cell r="D973" t="str">
            <v>09</v>
          </cell>
          <cell r="E973" t="str">
            <v>436 09 00</v>
          </cell>
          <cell r="F973" t="str">
            <v>500</v>
          </cell>
        </row>
        <row r="974">
          <cell r="A974" t="str">
            <v>Поступление нефинансовых активов</v>
          </cell>
          <cell r="B974" t="str">
            <v>903</v>
          </cell>
          <cell r="C974" t="str">
            <v>07</v>
          </cell>
          <cell r="D974" t="str">
            <v>09</v>
          </cell>
          <cell r="E974" t="str">
            <v>436 09 00</v>
          </cell>
          <cell r="F974" t="str">
            <v>500</v>
          </cell>
        </row>
        <row r="975">
          <cell r="A975" t="str">
            <v>Увеличение стоимости основных средств</v>
          </cell>
          <cell r="B975" t="str">
            <v>903</v>
          </cell>
          <cell r="C975" t="str">
            <v>07</v>
          </cell>
          <cell r="D975" t="str">
            <v>09</v>
          </cell>
          <cell r="E975" t="str">
            <v>436 09 00</v>
          </cell>
          <cell r="F975" t="str">
            <v>500</v>
          </cell>
        </row>
        <row r="976">
          <cell r="A976" t="str">
            <v>Увеличение стоимости материальных запасов </v>
          </cell>
          <cell r="B976" t="str">
            <v>903</v>
          </cell>
          <cell r="C976" t="str">
            <v>07</v>
          </cell>
          <cell r="D976" t="str">
            <v>09</v>
          </cell>
          <cell r="E976" t="str">
            <v>436 09 00</v>
          </cell>
          <cell r="F976" t="str">
            <v>500</v>
          </cell>
        </row>
        <row r="977">
          <cell r="A977" t="str">
            <v>Внедрение инновационных образовательных программ </v>
          </cell>
          <cell r="B977" t="str">
            <v>903</v>
          </cell>
          <cell r="C977" t="str">
            <v>07</v>
          </cell>
          <cell r="D977" t="str">
            <v>09</v>
          </cell>
          <cell r="E977" t="str">
            <v>4360200</v>
          </cell>
          <cell r="F977" t="str">
            <v>000</v>
          </cell>
        </row>
        <row r="978">
          <cell r="A978" t="str">
            <v>Выполнение функций бюджетными учреждениями</v>
          </cell>
          <cell r="B978" t="str">
            <v>903</v>
          </cell>
          <cell r="C978" t="str">
            <v>07</v>
          </cell>
          <cell r="D978" t="str">
            <v>09</v>
          </cell>
          <cell r="E978" t="str">
            <v>4360200</v>
          </cell>
          <cell r="F978" t="str">
            <v>001</v>
          </cell>
        </row>
        <row r="979">
          <cell r="A979" t="str">
            <v>РАСХОДЫ</v>
          </cell>
          <cell r="B979">
            <v>903</v>
          </cell>
          <cell r="C979" t="str">
            <v>07</v>
          </cell>
          <cell r="D979" t="str">
            <v>09</v>
          </cell>
          <cell r="E979" t="str">
            <v>4360200</v>
          </cell>
          <cell r="F979" t="str">
            <v>001</v>
          </cell>
        </row>
        <row r="980">
          <cell r="A980" t="str">
            <v>ПОСТУПЛЕНИЕ НЕФИНАНСОВЫХ АКТИВОВ</v>
          </cell>
          <cell r="B980">
            <v>903</v>
          </cell>
          <cell r="C980" t="str">
            <v>07</v>
          </cell>
          <cell r="D980" t="str">
            <v>09</v>
          </cell>
          <cell r="E980" t="str">
            <v>4360200</v>
          </cell>
          <cell r="F980" t="str">
            <v>001</v>
          </cell>
        </row>
        <row r="981">
          <cell r="A981" t="str">
            <v>Увеличение стоимости основных средств</v>
          </cell>
          <cell r="B981">
            <v>903</v>
          </cell>
          <cell r="C981" t="str">
            <v>07</v>
          </cell>
          <cell r="D981" t="str">
            <v>09</v>
          </cell>
          <cell r="E981" t="str">
            <v>4360200</v>
          </cell>
          <cell r="F981" t="str">
            <v>001</v>
          </cell>
        </row>
        <row r="982">
          <cell r="A982" t="str">
    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    </cell>
          <cell r="B982" t="str">
            <v>903</v>
          </cell>
          <cell r="C982" t="str">
            <v>07</v>
          </cell>
          <cell r="D982" t="str">
            <v>09</v>
          </cell>
          <cell r="E982" t="str">
            <v>452 00 00</v>
          </cell>
          <cell r="F982" t="str">
            <v>000</v>
          </cell>
        </row>
        <row r="983">
          <cell r="A983" t="str">
            <v>Обеспечение деятельности подведомственных учреждений</v>
          </cell>
          <cell r="B983" t="str">
            <v>903</v>
          </cell>
          <cell r="C983" t="str">
            <v>07</v>
          </cell>
          <cell r="D983" t="str">
            <v>09</v>
          </cell>
          <cell r="E983" t="str">
            <v>452 99 00</v>
          </cell>
          <cell r="F983" t="str">
            <v>000</v>
          </cell>
        </row>
        <row r="984">
          <cell r="A984" t="str">
            <v>Выполнение функций бюджетными учреждениями</v>
          </cell>
          <cell r="B984" t="str">
            <v>903</v>
          </cell>
          <cell r="C984" t="str">
            <v>07</v>
          </cell>
          <cell r="D984" t="str">
            <v>09</v>
          </cell>
          <cell r="E984" t="str">
            <v>452 99 00</v>
          </cell>
          <cell r="F984" t="str">
            <v>001</v>
          </cell>
        </row>
        <row r="985">
          <cell r="A985" t="str">
            <v>Расходы</v>
          </cell>
          <cell r="B985" t="str">
            <v>903</v>
          </cell>
          <cell r="C985" t="str">
            <v>07</v>
          </cell>
          <cell r="D985" t="str">
            <v>09</v>
          </cell>
          <cell r="E985" t="str">
            <v>452 99 00</v>
          </cell>
          <cell r="F985" t="str">
            <v>001</v>
          </cell>
        </row>
        <row r="986">
          <cell r="A986" t="str">
            <v>Оплата труда и начисления на оплату труда</v>
          </cell>
          <cell r="B986" t="str">
            <v>903</v>
          </cell>
          <cell r="C986" t="str">
            <v>07</v>
          </cell>
          <cell r="D986" t="str">
            <v>09</v>
          </cell>
          <cell r="E986" t="str">
            <v>452 99 00</v>
          </cell>
          <cell r="F986" t="str">
            <v>001</v>
          </cell>
        </row>
        <row r="987">
          <cell r="A987" t="str">
            <v>Заработная плата</v>
          </cell>
          <cell r="B987" t="str">
            <v>903</v>
          </cell>
          <cell r="C987" t="str">
            <v>07</v>
          </cell>
          <cell r="D987" t="str">
            <v>09</v>
          </cell>
          <cell r="E987" t="str">
            <v>452 99 00</v>
          </cell>
          <cell r="F987" t="str">
            <v>001</v>
          </cell>
        </row>
        <row r="988">
          <cell r="A988" t="str">
            <v>Прочие выплаты</v>
          </cell>
          <cell r="B988" t="str">
            <v>903</v>
          </cell>
          <cell r="C988" t="str">
            <v>07</v>
          </cell>
          <cell r="D988" t="str">
            <v>09</v>
          </cell>
          <cell r="E988" t="str">
            <v>452 99 00</v>
          </cell>
          <cell r="F988" t="str">
            <v>001</v>
          </cell>
        </row>
        <row r="989">
          <cell r="A989" t="str">
            <v>Начисление на оплату труда</v>
          </cell>
          <cell r="B989" t="str">
            <v>903</v>
          </cell>
          <cell r="C989" t="str">
            <v>07</v>
          </cell>
          <cell r="D989" t="str">
            <v>09</v>
          </cell>
          <cell r="E989" t="str">
            <v>452 99 00</v>
          </cell>
          <cell r="F989" t="str">
            <v>001</v>
          </cell>
        </row>
        <row r="990">
          <cell r="A990" t="str">
            <v>Приобретение услуг</v>
          </cell>
          <cell r="B990" t="str">
            <v>903</v>
          </cell>
          <cell r="C990" t="str">
            <v>07</v>
          </cell>
          <cell r="D990" t="str">
            <v>09</v>
          </cell>
          <cell r="E990" t="str">
            <v>452 99 00</v>
          </cell>
          <cell r="F990" t="str">
            <v>001</v>
          </cell>
        </row>
        <row r="991">
          <cell r="A991" t="str">
            <v>Услуги связи </v>
          </cell>
          <cell r="B991" t="str">
            <v>903</v>
          </cell>
          <cell r="C991" t="str">
            <v>07</v>
          </cell>
          <cell r="D991" t="str">
            <v>09</v>
          </cell>
          <cell r="E991" t="str">
            <v>452 99 00</v>
          </cell>
          <cell r="F991" t="str">
            <v>001</v>
          </cell>
        </row>
        <row r="992">
          <cell r="A992" t="str">
            <v>Транспортные услуги</v>
          </cell>
          <cell r="B992" t="str">
            <v>903</v>
          </cell>
          <cell r="C992" t="str">
            <v>07</v>
          </cell>
          <cell r="D992" t="str">
            <v>09</v>
          </cell>
          <cell r="E992" t="str">
            <v>452 99 00</v>
          </cell>
          <cell r="F992" t="str">
            <v>001</v>
          </cell>
        </row>
        <row r="993">
          <cell r="A993" t="str">
            <v>Коммунальные услуги</v>
          </cell>
          <cell r="B993" t="str">
            <v>903</v>
          </cell>
          <cell r="C993" t="str">
            <v>07</v>
          </cell>
          <cell r="D993" t="str">
            <v>09</v>
          </cell>
          <cell r="E993" t="str">
            <v>452 99 00</v>
          </cell>
          <cell r="F993" t="str">
            <v>001</v>
          </cell>
        </row>
        <row r="994">
          <cell r="A994" t="str">
            <v>Арендная плата за пользование иммуществом </v>
          </cell>
          <cell r="B994" t="str">
            <v>903</v>
          </cell>
          <cell r="C994" t="str">
            <v>07</v>
          </cell>
          <cell r="D994" t="str">
            <v>09</v>
          </cell>
          <cell r="E994" t="str">
            <v>452 99 00</v>
          </cell>
          <cell r="F994" t="str">
            <v>001</v>
          </cell>
        </row>
        <row r="995">
          <cell r="A995" t="str">
            <v>Услуги по содержанию иммущества</v>
          </cell>
          <cell r="B995" t="str">
            <v>903</v>
          </cell>
          <cell r="C995" t="str">
            <v>07</v>
          </cell>
          <cell r="D995" t="str">
            <v>09</v>
          </cell>
          <cell r="E995" t="str">
            <v>452 99 00</v>
          </cell>
          <cell r="F995" t="str">
            <v>001</v>
          </cell>
        </row>
        <row r="996">
          <cell r="A996" t="str">
            <v>Услуги по содержанию иммущества 8,40,00</v>
          </cell>
          <cell r="B996" t="str">
            <v>903</v>
          </cell>
          <cell r="C996" t="str">
            <v>07</v>
          </cell>
          <cell r="D996" t="str">
            <v>09</v>
          </cell>
          <cell r="E996" t="str">
            <v>452 99 00</v>
          </cell>
          <cell r="F996" t="str">
            <v>001</v>
          </cell>
        </row>
        <row r="997">
          <cell r="A997" t="str">
            <v>Прочие услуги</v>
          </cell>
          <cell r="B997" t="str">
            <v>903</v>
          </cell>
          <cell r="C997" t="str">
            <v>07</v>
          </cell>
          <cell r="D997" t="str">
            <v>09</v>
          </cell>
          <cell r="E997" t="str">
            <v>452 99 00</v>
          </cell>
          <cell r="F997" t="str">
            <v>001</v>
          </cell>
        </row>
        <row r="998">
          <cell r="A998" t="str">
            <v>Прочие расходы </v>
          </cell>
          <cell r="B998" t="str">
            <v>903</v>
          </cell>
          <cell r="C998" t="str">
            <v>07</v>
          </cell>
          <cell r="D998" t="str">
            <v>09</v>
          </cell>
          <cell r="E998" t="str">
            <v>452 99 00</v>
          </cell>
          <cell r="F998" t="str">
            <v>001</v>
          </cell>
        </row>
        <row r="999">
          <cell r="A999" t="str">
            <v>Поступление нефинансовых активов</v>
          </cell>
          <cell r="B999" t="str">
            <v>903</v>
          </cell>
          <cell r="C999" t="str">
            <v>07</v>
          </cell>
          <cell r="D999" t="str">
            <v>09</v>
          </cell>
          <cell r="E999" t="str">
            <v>452 99 00</v>
          </cell>
          <cell r="F999" t="str">
            <v>001</v>
          </cell>
        </row>
        <row r="1000">
          <cell r="A1000" t="str">
            <v>Увеличение стоимости основных средств</v>
          </cell>
          <cell r="B1000" t="str">
            <v>903</v>
          </cell>
          <cell r="C1000" t="str">
            <v>07</v>
          </cell>
          <cell r="D1000" t="str">
            <v>09</v>
          </cell>
          <cell r="E1000" t="str">
            <v>452 99 00</v>
          </cell>
          <cell r="F1000" t="str">
            <v>001</v>
          </cell>
        </row>
        <row r="1001">
          <cell r="A1001" t="str">
            <v>Увеличение стоимости материальных запасов</v>
          </cell>
          <cell r="B1001" t="str">
            <v>903</v>
          </cell>
          <cell r="C1001" t="str">
            <v>07</v>
          </cell>
          <cell r="D1001" t="str">
            <v>09</v>
          </cell>
          <cell r="E1001" t="str">
            <v>452 99 00</v>
          </cell>
          <cell r="F1001" t="str">
            <v>001</v>
          </cell>
        </row>
        <row r="1002">
          <cell r="A1002" t="str">
            <v>Субсидии некоммерческим организациям</v>
          </cell>
          <cell r="B1002" t="str">
            <v>903</v>
          </cell>
          <cell r="C1002" t="str">
            <v>07</v>
          </cell>
          <cell r="D1002" t="str">
            <v>09</v>
          </cell>
          <cell r="E1002" t="str">
            <v>452 99 00</v>
          </cell>
          <cell r="F1002" t="str">
            <v>019</v>
          </cell>
        </row>
        <row r="1003">
          <cell r="A1003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003" t="str">
            <v>903</v>
          </cell>
          <cell r="C1003" t="str">
            <v>07</v>
          </cell>
          <cell r="D1003" t="str">
            <v>09</v>
          </cell>
          <cell r="E1003" t="str">
            <v>590 00 00</v>
          </cell>
          <cell r="F1003" t="str">
            <v>000</v>
          </cell>
        </row>
        <row r="1004">
          <cell r="A1004" t="str">
            <v>Выполнение функций бюджетными учреждениями</v>
          </cell>
          <cell r="B1004" t="str">
            <v>903</v>
          </cell>
          <cell r="C1004" t="str">
            <v>07</v>
          </cell>
          <cell r="D1004" t="str">
            <v>09</v>
          </cell>
          <cell r="E1004" t="str">
            <v>590 00 00</v>
          </cell>
          <cell r="F1004" t="str">
            <v>001</v>
          </cell>
        </row>
        <row r="1005">
          <cell r="A1005" t="str">
            <v>Выполнение функций органами местного самоуправления</v>
          </cell>
          <cell r="B1005" t="str">
            <v>903</v>
          </cell>
          <cell r="C1005" t="str">
            <v>07</v>
          </cell>
          <cell r="D1005" t="str">
            <v>09</v>
          </cell>
          <cell r="E1005" t="str">
            <v>590 00 00</v>
          </cell>
          <cell r="F1005" t="str">
            <v>500</v>
          </cell>
        </row>
        <row r="1006">
          <cell r="A1006" t="str">
            <v>Погашение просроченной кредиторской задолженности по состоянию на 1 апреля 2012 года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</v>
          </cell>
          <cell r="B1006" t="str">
            <v>903</v>
          </cell>
          <cell r="C1006" t="str">
            <v>07</v>
          </cell>
          <cell r="D1006" t="str">
            <v>09</v>
          </cell>
          <cell r="E1006" t="str">
            <v>594 00 00</v>
          </cell>
          <cell r="F1006" t="str">
            <v>000</v>
          </cell>
        </row>
        <row r="1007">
          <cell r="A1007" t="str">
            <v>Субсидии некоммерческим организациям</v>
          </cell>
          <cell r="B1007" t="str">
            <v>903</v>
          </cell>
          <cell r="C1007" t="str">
            <v>07</v>
          </cell>
          <cell r="D1007" t="str">
            <v>09</v>
          </cell>
          <cell r="E1007" t="str">
            <v>594 00 00</v>
          </cell>
          <cell r="F1007" t="str">
            <v>500</v>
          </cell>
        </row>
        <row r="1008">
          <cell r="A1008" t="str">
            <v>Целевые программы муниципальных образований </v>
          </cell>
          <cell r="B1008" t="str">
            <v>903</v>
          </cell>
          <cell r="C1008" t="str">
            <v>07</v>
          </cell>
          <cell r="D1008" t="str">
            <v>09</v>
          </cell>
          <cell r="E1008" t="str">
            <v>795 00 00</v>
          </cell>
          <cell r="F1008" t="str">
            <v>000</v>
          </cell>
        </row>
        <row r="1009">
          <cell r="A1009" t="str">
            <v>Выполнение функций органами местного самоуправления</v>
          </cell>
          <cell r="B1009" t="str">
            <v>903</v>
          </cell>
          <cell r="C1009" t="str">
            <v>07</v>
          </cell>
          <cell r="D1009" t="str">
            <v>09</v>
          </cell>
          <cell r="E1009" t="str">
            <v>795 00 00</v>
          </cell>
          <cell r="F1009" t="str">
            <v>500</v>
          </cell>
        </row>
        <row r="1010">
          <cell r="A1010" t="str">
            <v>Расходы</v>
          </cell>
          <cell r="B1010" t="str">
            <v>903</v>
          </cell>
          <cell r="C1010" t="str">
            <v>07</v>
          </cell>
          <cell r="D1010" t="str">
            <v>09</v>
          </cell>
          <cell r="E1010" t="str">
            <v>795 00 00</v>
          </cell>
          <cell r="F1010" t="str">
            <v>500</v>
          </cell>
        </row>
        <row r="1011">
          <cell r="A1011" t="str">
            <v>Приобретение услуг</v>
          </cell>
          <cell r="B1011" t="str">
            <v>903</v>
          </cell>
          <cell r="C1011" t="str">
            <v>07</v>
          </cell>
          <cell r="D1011" t="str">
            <v>09</v>
          </cell>
          <cell r="E1011" t="str">
            <v>795 00 00</v>
          </cell>
          <cell r="F1011" t="str">
            <v>500</v>
          </cell>
        </row>
        <row r="1012">
          <cell r="A1012" t="str">
            <v>Обеспечение пожарной безопасности в образовательных учреждениях Усольского района на 2012-2014 год</v>
          </cell>
          <cell r="B1012" t="str">
            <v>903</v>
          </cell>
          <cell r="C1012" t="str">
            <v>07</v>
          </cell>
          <cell r="D1012" t="str">
            <v>09</v>
          </cell>
          <cell r="E1012" t="str">
            <v>795 01 00</v>
          </cell>
          <cell r="F1012" t="str">
            <v>000</v>
          </cell>
        </row>
        <row r="1013">
          <cell r="A1013" t="str">
            <v>Выполнение функций органами местного самоуправления</v>
          </cell>
          <cell r="B1013" t="str">
            <v>903</v>
          </cell>
          <cell r="C1013" t="str">
            <v>07</v>
          </cell>
          <cell r="D1013" t="str">
            <v>09</v>
          </cell>
          <cell r="E1013" t="str">
            <v>795 01 00</v>
          </cell>
          <cell r="F1013" t="str">
            <v>500</v>
          </cell>
        </row>
        <row r="1014">
          <cell r="A1014" t="str">
            <v>Информатизация системы образования Усольского района в 2012-2014г.</v>
          </cell>
          <cell r="B1014" t="str">
            <v>903</v>
          </cell>
          <cell r="C1014" t="str">
            <v>07</v>
          </cell>
          <cell r="D1014" t="str">
            <v>09</v>
          </cell>
          <cell r="E1014" t="str">
            <v>795 03 00</v>
          </cell>
          <cell r="F1014" t="str">
            <v>000</v>
          </cell>
        </row>
        <row r="1015">
          <cell r="A1015" t="str">
            <v>Выполнение функций органами местного самоуправления</v>
          </cell>
          <cell r="B1015" t="str">
            <v>903</v>
          </cell>
          <cell r="C1015" t="str">
            <v>07</v>
          </cell>
          <cell r="D1015" t="str">
            <v>09</v>
          </cell>
          <cell r="E1015" t="str">
            <v>795 03 00</v>
          </cell>
          <cell r="F1015" t="str">
            <v>500</v>
          </cell>
        </row>
        <row r="1016">
          <cell r="A1016" t="str">
            <v>Обеспечение охраны образовательных учреждений Усольского района в 2012-2014 г</v>
          </cell>
          <cell r="B1016" t="str">
            <v>903</v>
          </cell>
          <cell r="C1016" t="str">
            <v>07</v>
          </cell>
          <cell r="D1016" t="str">
            <v>09</v>
          </cell>
          <cell r="E1016" t="str">
            <v>795 05 00</v>
          </cell>
          <cell r="F1016" t="str">
            <v>000</v>
          </cell>
        </row>
        <row r="1017">
          <cell r="A1017" t="str">
            <v>Выполнение функций органами местного самоуправления</v>
          </cell>
          <cell r="B1017" t="str">
            <v>903</v>
          </cell>
          <cell r="C1017" t="str">
            <v>07</v>
          </cell>
          <cell r="D1017" t="str">
            <v>09</v>
          </cell>
          <cell r="E1017" t="str">
            <v>795 05 00</v>
          </cell>
          <cell r="F1017" t="str">
            <v>500</v>
          </cell>
        </row>
        <row r="1018">
          <cell r="A1018" t="str">
            <v>Обеспечение  безопасности школьных перевозок  детей  образовательными учреждениями  Усольского района в 2012-2014г</v>
          </cell>
          <cell r="B1018" t="str">
            <v>903</v>
          </cell>
          <cell r="C1018" t="str">
            <v>07</v>
          </cell>
          <cell r="D1018" t="str">
            <v>09</v>
          </cell>
          <cell r="E1018" t="str">
            <v>795 06 00</v>
          </cell>
          <cell r="F1018" t="str">
            <v>000</v>
          </cell>
        </row>
        <row r="1019">
          <cell r="A1019" t="str">
            <v>Выполнение функций органами местного самоуправления</v>
          </cell>
          <cell r="B1019" t="str">
            <v>903</v>
          </cell>
          <cell r="C1019" t="str">
            <v>07</v>
          </cell>
          <cell r="D1019" t="str">
            <v>09</v>
          </cell>
          <cell r="E1019" t="str">
            <v>795 06 00</v>
          </cell>
          <cell r="F1019" t="str">
            <v>500</v>
          </cell>
        </row>
        <row r="1020">
          <cell r="A1020" t="str">
            <v>Обучение и воспитание одаренных детей в Усольском районе на 2012-2014гг.</v>
          </cell>
          <cell r="B1020" t="str">
            <v>903</v>
          </cell>
          <cell r="C1020" t="str">
            <v>07</v>
          </cell>
          <cell r="D1020" t="str">
            <v>09</v>
          </cell>
          <cell r="E1020" t="str">
            <v>795 07 00</v>
          </cell>
          <cell r="F1020" t="str">
            <v>000</v>
          </cell>
        </row>
        <row r="1021">
          <cell r="A1021" t="str">
            <v>Выполнение функций органами местного самоуправления</v>
          </cell>
          <cell r="B1021" t="str">
            <v>903</v>
          </cell>
          <cell r="C1021" t="str">
            <v>07</v>
          </cell>
          <cell r="D1021" t="str">
            <v>09</v>
          </cell>
          <cell r="E1021" t="str">
            <v>795 07 00</v>
          </cell>
          <cell r="F1021" t="str">
            <v>500</v>
          </cell>
        </row>
        <row r="1022">
          <cell r="A1022" t="str">
            <v>Здоровое поколение в 2012-2014 г</v>
          </cell>
          <cell r="B1022" t="str">
            <v>903</v>
          </cell>
          <cell r="C1022" t="str">
            <v>07</v>
          </cell>
          <cell r="D1022" t="str">
            <v>09</v>
          </cell>
          <cell r="E1022" t="str">
            <v>795 08 00</v>
          </cell>
          <cell r="F1022" t="str">
            <v>000</v>
          </cell>
        </row>
        <row r="1023">
          <cell r="A1023" t="str">
            <v>Выполнение функций органами местного самоуправления</v>
          </cell>
          <cell r="B1023" t="str">
            <v>903</v>
          </cell>
          <cell r="C1023" t="str">
            <v>07</v>
          </cell>
          <cell r="D1023" t="str">
            <v>09</v>
          </cell>
          <cell r="E1023" t="str">
            <v>795 08 00</v>
          </cell>
          <cell r="F1023" t="str">
            <v>500</v>
          </cell>
        </row>
        <row r="1024">
          <cell r="A1024" t="str">
            <v>Улучшение условий охраны труда ,обеспечение санитарно-гигиенического благополучия в образовательных учреждениях Усольского района в 2012-2014гг</v>
          </cell>
          <cell r="B1024" t="str">
            <v>903</v>
          </cell>
          <cell r="C1024" t="str">
            <v>07</v>
          </cell>
          <cell r="D1024" t="str">
            <v>09</v>
          </cell>
          <cell r="E1024" t="str">
            <v>795 09 00</v>
          </cell>
          <cell r="F1024" t="str">
            <v>000</v>
          </cell>
        </row>
        <row r="1025">
          <cell r="A1025" t="str">
            <v>Выполнение функций органами местного самоуправления</v>
          </cell>
          <cell r="B1025" t="str">
            <v>903</v>
          </cell>
          <cell r="C1025" t="str">
            <v>07</v>
          </cell>
          <cell r="D1025" t="str">
            <v>09</v>
          </cell>
          <cell r="E1025" t="str">
            <v>795 09 00</v>
          </cell>
          <cell r="F1025" t="str">
            <v>500</v>
          </cell>
        </row>
        <row r="1026">
          <cell r="A1026" t="str">
            <v>Развитие дошкольного образования на территории  Усольского района 2012-2014 г</v>
          </cell>
          <cell r="B1026" t="str">
            <v>903</v>
          </cell>
          <cell r="C1026" t="str">
            <v>07</v>
          </cell>
          <cell r="D1026" t="str">
            <v>09</v>
          </cell>
          <cell r="E1026" t="str">
            <v>795 10 00</v>
          </cell>
          <cell r="F1026" t="str">
            <v>000</v>
          </cell>
        </row>
        <row r="1027">
          <cell r="A1027" t="str">
            <v>Выполнение функций органами местного самоуправления</v>
          </cell>
          <cell r="B1027" t="str">
            <v>903</v>
          </cell>
          <cell r="C1027" t="str">
            <v>07</v>
          </cell>
          <cell r="D1027" t="str">
            <v>09</v>
          </cell>
          <cell r="E1027" t="str">
            <v>795 10 00</v>
          </cell>
          <cell r="F1027" t="str">
            <v>500</v>
          </cell>
        </row>
        <row r="1028">
          <cell r="A1028" t="str">
            <v>Демографическое развитие УРМО на 2009-2012 гг</v>
          </cell>
          <cell r="B1028" t="str">
            <v>903</v>
          </cell>
          <cell r="C1028" t="str">
            <v>07</v>
          </cell>
          <cell r="D1028" t="str">
            <v>09</v>
          </cell>
          <cell r="E1028" t="str">
            <v>795 31 00</v>
          </cell>
          <cell r="F1028" t="str">
            <v>000</v>
          </cell>
        </row>
        <row r="1029">
          <cell r="A1029" t="str">
            <v>Выполнение функций органами местного самоуправления</v>
          </cell>
          <cell r="B1029" t="str">
            <v>903</v>
          </cell>
          <cell r="C1029" t="str">
            <v>07</v>
          </cell>
          <cell r="D1029" t="str">
            <v>09</v>
          </cell>
          <cell r="E1029" t="str">
            <v>795 31 00</v>
          </cell>
          <cell r="F1029" t="str">
            <v>500</v>
          </cell>
        </row>
        <row r="1030">
          <cell r="A1030" t="str">
            <v>Совершенствование организации питания в образовательных учреждениях Усольского района на 2011-2012гг</v>
          </cell>
          <cell r="B1030" t="str">
            <v>903</v>
          </cell>
          <cell r="C1030" t="str">
            <v>07</v>
          </cell>
          <cell r="D1030" t="str">
            <v>09</v>
          </cell>
          <cell r="E1030" t="str">
            <v>795 33 00</v>
          </cell>
          <cell r="F1030" t="str">
            <v>000</v>
          </cell>
        </row>
        <row r="1031">
          <cell r="A1031" t="str">
            <v>Прочие услуги</v>
          </cell>
          <cell r="B1031" t="str">
            <v>903</v>
          </cell>
          <cell r="C1031" t="str">
            <v>07</v>
          </cell>
          <cell r="D1031" t="str">
            <v>09</v>
          </cell>
          <cell r="E1031" t="str">
            <v>795 09 00</v>
          </cell>
          <cell r="F1031" t="str">
            <v>500</v>
          </cell>
        </row>
        <row r="1032">
          <cell r="A1032" t="str">
            <v>Прочие услуги</v>
          </cell>
          <cell r="B1032" t="str">
            <v>903</v>
          </cell>
          <cell r="C1032" t="str">
            <v>07</v>
          </cell>
          <cell r="D1032" t="str">
            <v>09</v>
          </cell>
          <cell r="E1032" t="str">
            <v>795 10 00</v>
          </cell>
          <cell r="F1032" t="str">
            <v>500</v>
          </cell>
        </row>
        <row r="1033">
          <cell r="A1033" t="str">
            <v>Прочие услуги</v>
          </cell>
          <cell r="B1033" t="str">
            <v>903</v>
          </cell>
          <cell r="C1033" t="str">
            <v>07</v>
          </cell>
          <cell r="D1033" t="str">
            <v>09</v>
          </cell>
          <cell r="E1033" t="str">
            <v>795 00 00</v>
          </cell>
          <cell r="F1033" t="str">
            <v>500</v>
          </cell>
        </row>
        <row r="1034">
          <cell r="A1034" t="str">
            <v>Прочие услуги</v>
          </cell>
          <cell r="B1034" t="str">
            <v>903</v>
          </cell>
          <cell r="C1034" t="str">
            <v>07</v>
          </cell>
          <cell r="D1034" t="str">
            <v>09</v>
          </cell>
          <cell r="E1034" t="str">
            <v>795 00 00</v>
          </cell>
          <cell r="F1034" t="str">
            <v>500</v>
          </cell>
        </row>
        <row r="1035">
          <cell r="A1035" t="str">
            <v>Прочие расходы </v>
          </cell>
          <cell r="B1035" t="str">
            <v>903</v>
          </cell>
          <cell r="C1035" t="str">
            <v>07</v>
          </cell>
          <cell r="D1035" t="str">
            <v>09</v>
          </cell>
          <cell r="E1035" t="str">
            <v>795 00 00</v>
          </cell>
          <cell r="F1035" t="str">
            <v>500</v>
          </cell>
        </row>
        <row r="1036">
          <cell r="A1036" t="str">
            <v>Поступление нефинансовых активов</v>
          </cell>
          <cell r="B1036" t="str">
            <v>903</v>
          </cell>
          <cell r="C1036" t="str">
            <v>07</v>
          </cell>
          <cell r="D1036" t="str">
            <v>09</v>
          </cell>
          <cell r="E1036" t="str">
            <v>795 00 00</v>
          </cell>
          <cell r="F1036" t="str">
            <v>500</v>
          </cell>
        </row>
        <row r="1037">
          <cell r="A1037" t="str">
            <v>Увеличение стоимости основных средств</v>
          </cell>
          <cell r="B1037" t="str">
            <v>903</v>
          </cell>
          <cell r="C1037" t="str">
            <v>07</v>
          </cell>
          <cell r="D1037" t="str">
            <v>09</v>
          </cell>
          <cell r="E1037" t="str">
            <v>795 00 00</v>
          </cell>
          <cell r="F1037" t="str">
            <v>500</v>
          </cell>
        </row>
        <row r="1038">
          <cell r="A1038" t="str">
            <v>Увеличение стоимости материальных запасов </v>
          </cell>
          <cell r="B1038" t="str">
            <v>903</v>
          </cell>
          <cell r="C1038" t="str">
            <v>07</v>
          </cell>
          <cell r="D1038" t="str">
            <v>09</v>
          </cell>
          <cell r="E1038" t="str">
            <v>795 00 00</v>
          </cell>
          <cell r="F1038" t="str">
            <v>500</v>
          </cell>
        </row>
        <row r="1039">
          <cell r="A1039" t="str">
            <v>Прочие услуги</v>
          </cell>
          <cell r="B1039" t="str">
            <v>903</v>
          </cell>
          <cell r="C1039" t="str">
            <v>07</v>
          </cell>
          <cell r="D1039" t="str">
            <v>09</v>
          </cell>
          <cell r="E1039" t="str">
            <v>795 33 00</v>
          </cell>
          <cell r="F1039" t="str">
            <v>500</v>
          </cell>
        </row>
        <row r="1040">
          <cell r="A1040" t="str">
            <v>Прочие расходы </v>
          </cell>
          <cell r="B1040" t="str">
            <v>903</v>
          </cell>
          <cell r="C1040" t="str">
            <v>07</v>
          </cell>
          <cell r="D1040" t="str">
            <v>09</v>
          </cell>
          <cell r="E1040" t="str">
            <v>795 01 00</v>
          </cell>
          <cell r="F1040" t="str">
            <v>500</v>
          </cell>
        </row>
        <row r="1041">
          <cell r="A1041" t="str">
            <v>Прочие расходы </v>
          </cell>
          <cell r="B1041" t="str">
            <v>903</v>
          </cell>
          <cell r="C1041" t="str">
            <v>07</v>
          </cell>
          <cell r="D1041" t="str">
            <v>09</v>
          </cell>
          <cell r="E1041" t="str">
            <v>795 07 00</v>
          </cell>
          <cell r="F1041" t="str">
            <v>500</v>
          </cell>
        </row>
        <row r="1042">
          <cell r="B1042" t="str">
            <v>903</v>
          </cell>
          <cell r="C1042" t="str">
            <v>07</v>
          </cell>
          <cell r="D1042" t="str">
            <v>09</v>
          </cell>
          <cell r="E1042" t="str">
            <v>795 08 00</v>
          </cell>
          <cell r="F1042" t="str">
            <v>500</v>
          </cell>
        </row>
        <row r="1043">
          <cell r="A1043" t="str">
            <v>Поступление нефинансовых активов</v>
          </cell>
          <cell r="B1043" t="str">
            <v>903</v>
          </cell>
          <cell r="C1043" t="str">
            <v>07</v>
          </cell>
          <cell r="D1043" t="str">
            <v>09</v>
          </cell>
          <cell r="E1043" t="str">
            <v>795 03 00</v>
          </cell>
          <cell r="F1043" t="str">
            <v>500</v>
          </cell>
        </row>
        <row r="1044">
          <cell r="B1044" t="str">
            <v>903</v>
          </cell>
          <cell r="C1044" t="str">
            <v>07</v>
          </cell>
          <cell r="D1044" t="str">
            <v>09</v>
          </cell>
          <cell r="E1044" t="str">
            <v>795 01 00</v>
          </cell>
          <cell r="F1044" t="str">
            <v>500</v>
          </cell>
        </row>
        <row r="1045">
          <cell r="A1045" t="str">
            <v>Увеличение стоимости основных средств</v>
          </cell>
          <cell r="B1045" t="str">
            <v>903</v>
          </cell>
          <cell r="C1045" t="str">
            <v>07</v>
          </cell>
          <cell r="D1045" t="str">
            <v>09</v>
          </cell>
          <cell r="E1045" t="str">
            <v>795 03 00</v>
          </cell>
          <cell r="F1045" t="str">
            <v>500</v>
          </cell>
        </row>
        <row r="1046">
          <cell r="B1046" t="str">
            <v>903</v>
          </cell>
          <cell r="C1046" t="str">
            <v>07</v>
          </cell>
          <cell r="D1046" t="str">
            <v>09</v>
          </cell>
          <cell r="E1046" t="str">
            <v>795 09 00</v>
          </cell>
          <cell r="F1046" t="str">
            <v>500</v>
          </cell>
        </row>
        <row r="1047">
          <cell r="A1047" t="str">
            <v>Увеличение стоимости основных средств</v>
          </cell>
          <cell r="B1047" t="str">
            <v>903</v>
          </cell>
          <cell r="C1047" t="str">
            <v>07</v>
          </cell>
          <cell r="D1047" t="str">
            <v>09</v>
          </cell>
          <cell r="E1047" t="str">
            <v>795 06 00</v>
          </cell>
          <cell r="F1047" t="str">
            <v>500</v>
          </cell>
        </row>
        <row r="1048">
          <cell r="A1048" t="str">
            <v>Увеличение стоимости основных средств</v>
          </cell>
          <cell r="B1048" t="str">
            <v>903</v>
          </cell>
          <cell r="C1048" t="str">
            <v>07</v>
          </cell>
          <cell r="D1048" t="str">
            <v>09</v>
          </cell>
          <cell r="E1048" t="str">
            <v>795 10 00</v>
          </cell>
          <cell r="F1048" t="str">
            <v>500</v>
          </cell>
        </row>
        <row r="1049">
          <cell r="A1049" t="str">
            <v>Увеличение стоимости материальных запасов</v>
          </cell>
          <cell r="B1049" t="str">
            <v>903</v>
          </cell>
          <cell r="C1049" t="str">
            <v>07</v>
          </cell>
          <cell r="D1049" t="str">
            <v>09</v>
          </cell>
          <cell r="E1049" t="str">
            <v>795 01 00</v>
          </cell>
          <cell r="F1049" t="str">
            <v>500</v>
          </cell>
        </row>
        <row r="1050">
          <cell r="A1050" t="str">
            <v>Увеличение стоимости материальных запасов</v>
          </cell>
          <cell r="B1050" t="str">
            <v>903</v>
          </cell>
          <cell r="C1050" t="str">
            <v>07</v>
          </cell>
          <cell r="D1050" t="str">
            <v>09</v>
          </cell>
          <cell r="E1050" t="str">
            <v>795 06 00</v>
          </cell>
          <cell r="F1050" t="str">
            <v>500</v>
          </cell>
        </row>
        <row r="1052">
          <cell r="A1052" t="str">
            <v>Увеличение стоимости материальных запасов</v>
          </cell>
          <cell r="B1052" t="str">
            <v>903</v>
          </cell>
          <cell r="C1052" t="str">
            <v>07</v>
          </cell>
          <cell r="D1052" t="str">
            <v>09</v>
          </cell>
          <cell r="E1052" t="str">
            <v>795 07 00</v>
          </cell>
          <cell r="F1052" t="str">
            <v>500</v>
          </cell>
        </row>
        <row r="1053">
          <cell r="B1053" t="str">
            <v>903</v>
          </cell>
          <cell r="C1053" t="str">
            <v>07</v>
          </cell>
          <cell r="D1053" t="str">
            <v>09</v>
          </cell>
          <cell r="E1053" t="str">
            <v>795 09 00</v>
          </cell>
          <cell r="F1053" t="str">
            <v>500</v>
          </cell>
        </row>
        <row r="1054">
          <cell r="A1054" t="str">
            <v>Увеличение стоимости материальных запасов</v>
          </cell>
          <cell r="B1054" t="str">
            <v>903</v>
          </cell>
          <cell r="C1054" t="str">
            <v>07</v>
          </cell>
          <cell r="D1054" t="str">
            <v>09</v>
          </cell>
          <cell r="E1054" t="str">
            <v>795 08 00</v>
          </cell>
          <cell r="F1054" t="str">
            <v>500</v>
          </cell>
        </row>
        <row r="1055">
          <cell r="A1055" t="str">
            <v>Увеличение стоимости материальных запасов</v>
          </cell>
          <cell r="B1055" t="str">
            <v>903</v>
          </cell>
          <cell r="C1055" t="str">
            <v>07</v>
          </cell>
          <cell r="D1055" t="str">
            <v>09</v>
          </cell>
          <cell r="E1055" t="str">
            <v>795 10 00</v>
          </cell>
          <cell r="F1055" t="str">
            <v>500</v>
          </cell>
        </row>
        <row r="1056">
          <cell r="A1056" t="str">
            <v>Образование </v>
          </cell>
          <cell r="C1056" t="str">
            <v>07</v>
          </cell>
          <cell r="D1056" t="str">
            <v>00</v>
          </cell>
          <cell r="E1056" t="str">
            <v>000 00 00</v>
          </cell>
          <cell r="F1056" t="str">
            <v>000</v>
          </cell>
        </row>
        <row r="1057">
          <cell r="A1057" t="str">
            <v>Расходы</v>
          </cell>
          <cell r="C1057" t="str">
            <v>07</v>
          </cell>
          <cell r="D1057" t="str">
            <v>00</v>
          </cell>
          <cell r="E1057" t="str">
            <v>000 00 00</v>
          </cell>
          <cell r="F1057" t="str">
            <v>000</v>
          </cell>
        </row>
        <row r="1058">
          <cell r="A1058" t="str">
            <v>Оплата труда и начисления на оплату труда</v>
          </cell>
          <cell r="C1058" t="str">
            <v>07</v>
          </cell>
          <cell r="D1058" t="str">
            <v>00</v>
          </cell>
          <cell r="E1058" t="str">
            <v>000 00 00</v>
          </cell>
          <cell r="F1058" t="str">
            <v>000</v>
          </cell>
        </row>
        <row r="1059">
          <cell r="A1059" t="str">
            <v>Заработная плата</v>
          </cell>
          <cell r="C1059" t="str">
            <v>07</v>
          </cell>
          <cell r="D1059" t="str">
            <v>00</v>
          </cell>
          <cell r="E1059" t="str">
            <v>000 00 00</v>
          </cell>
          <cell r="F1059" t="str">
            <v>000</v>
          </cell>
        </row>
        <row r="1060">
          <cell r="A1060" t="str">
            <v>Прочие выплаты</v>
          </cell>
          <cell r="C1060" t="str">
            <v>07</v>
          </cell>
          <cell r="D1060" t="str">
            <v>00</v>
          </cell>
          <cell r="E1060" t="str">
            <v>000 00 00</v>
          </cell>
          <cell r="F1060" t="str">
            <v>000</v>
          </cell>
        </row>
        <row r="1061">
          <cell r="A1061" t="str">
            <v>Начисление на оплату труда</v>
          </cell>
          <cell r="C1061" t="str">
            <v>07</v>
          </cell>
          <cell r="D1061" t="str">
            <v>00</v>
          </cell>
          <cell r="E1061" t="str">
            <v>000 00 00</v>
          </cell>
          <cell r="F1061" t="str">
            <v>000</v>
          </cell>
        </row>
        <row r="1062">
          <cell r="A1062" t="str">
            <v>Приобретение услуг</v>
          </cell>
          <cell r="C1062" t="str">
            <v>07</v>
          </cell>
          <cell r="D1062" t="str">
            <v>00</v>
          </cell>
          <cell r="E1062" t="str">
            <v>000 00 00</v>
          </cell>
          <cell r="F1062" t="str">
            <v>000</v>
          </cell>
        </row>
        <row r="1063">
          <cell r="A1063" t="str">
            <v>Услуги связи </v>
          </cell>
          <cell r="C1063" t="str">
            <v>07</v>
          </cell>
          <cell r="D1063" t="str">
            <v>00</v>
          </cell>
          <cell r="E1063" t="str">
            <v>000 00 00</v>
          </cell>
          <cell r="F1063" t="str">
            <v>000</v>
          </cell>
        </row>
        <row r="1064">
          <cell r="A1064" t="str">
            <v>Транспортные услуги</v>
          </cell>
          <cell r="C1064" t="str">
            <v>07</v>
          </cell>
          <cell r="D1064" t="str">
            <v>00</v>
          </cell>
          <cell r="E1064" t="str">
            <v>000 00 00</v>
          </cell>
          <cell r="F1064" t="str">
            <v>000</v>
          </cell>
        </row>
        <row r="1065">
          <cell r="A1065" t="str">
            <v>Коммунальные услуги</v>
          </cell>
          <cell r="C1065" t="str">
            <v>07</v>
          </cell>
          <cell r="D1065" t="str">
            <v>00</v>
          </cell>
          <cell r="E1065" t="str">
            <v>000 00 00</v>
          </cell>
          <cell r="F1065" t="str">
            <v>000</v>
          </cell>
        </row>
        <row r="1066">
          <cell r="A1066" t="str">
            <v>Арендная плата за пользование иммуществом </v>
          </cell>
          <cell r="C1066" t="str">
            <v>07</v>
          </cell>
          <cell r="D1066" t="str">
            <v>00</v>
          </cell>
          <cell r="E1066" t="str">
            <v>000 00 00</v>
          </cell>
          <cell r="F1066" t="str">
            <v>000</v>
          </cell>
        </row>
        <row r="1067">
          <cell r="A1067" t="str">
            <v>Услуги по содержанию иммущества</v>
          </cell>
          <cell r="C1067" t="str">
            <v>07</v>
          </cell>
          <cell r="D1067" t="str">
            <v>00</v>
          </cell>
          <cell r="E1067" t="str">
            <v>000 00 00</v>
          </cell>
          <cell r="F1067" t="str">
            <v>000</v>
          </cell>
        </row>
        <row r="1068">
          <cell r="A1068" t="str">
            <v>Безвозмездные и безвозвратные перечисления государственным и муниципальным организациям</v>
          </cell>
          <cell r="C1068" t="str">
            <v>07</v>
          </cell>
          <cell r="D1068" t="str">
            <v>00</v>
          </cell>
          <cell r="E1068" t="str">
            <v>000 00 00</v>
          </cell>
          <cell r="F1068" t="str">
            <v>000</v>
          </cell>
        </row>
        <row r="1069">
          <cell r="A1069" t="str">
            <v>Прочие услуги</v>
          </cell>
          <cell r="C1069" t="str">
            <v>07</v>
          </cell>
          <cell r="D1069" t="str">
            <v>00</v>
          </cell>
          <cell r="E1069" t="str">
            <v>000 00 00</v>
          </cell>
          <cell r="F1069" t="str">
            <v>000</v>
          </cell>
        </row>
        <row r="1070">
          <cell r="A1070" t="str">
            <v>Социальное обеспечение</v>
          </cell>
          <cell r="C1070" t="str">
            <v>07</v>
          </cell>
          <cell r="D1070" t="str">
            <v>00</v>
          </cell>
          <cell r="E1070" t="str">
            <v>000 00 00</v>
          </cell>
          <cell r="F1070" t="str">
            <v>000</v>
          </cell>
        </row>
        <row r="1071">
          <cell r="A1071" t="str">
            <v>Пособия по социальной помощи населению</v>
          </cell>
          <cell r="C1071" t="str">
            <v>07</v>
          </cell>
          <cell r="D1071" t="str">
            <v>00</v>
          </cell>
          <cell r="E1071" t="str">
            <v>000 00 00</v>
          </cell>
          <cell r="F1071" t="str">
            <v>000</v>
          </cell>
        </row>
        <row r="1072">
          <cell r="A1072" t="str">
            <v>Прочие расходы</v>
          </cell>
          <cell r="C1072" t="str">
            <v>07</v>
          </cell>
          <cell r="D1072" t="str">
            <v>00</v>
          </cell>
          <cell r="E1072" t="str">
            <v>000 00 00</v>
          </cell>
          <cell r="F1072" t="str">
            <v>000</v>
          </cell>
        </row>
        <row r="1073">
          <cell r="A1073" t="str">
            <v>Поступление нефинансовых активов</v>
          </cell>
          <cell r="C1073" t="str">
            <v>07</v>
          </cell>
          <cell r="D1073" t="str">
            <v>00</v>
          </cell>
          <cell r="E1073" t="str">
            <v>000 00 00</v>
          </cell>
          <cell r="F1073" t="str">
            <v>000</v>
          </cell>
        </row>
        <row r="1074">
          <cell r="A1074" t="str">
            <v>Увеличение стоимости основных средств</v>
          </cell>
          <cell r="C1074" t="str">
            <v>07</v>
          </cell>
          <cell r="D1074" t="str">
            <v>00</v>
          </cell>
          <cell r="E1074" t="str">
            <v>000 00 00</v>
          </cell>
          <cell r="F1074" t="str">
            <v>000</v>
          </cell>
        </row>
        <row r="1075">
          <cell r="A1075" t="str">
            <v>Увеличение стоимости материальных запасов</v>
          </cell>
          <cell r="C1075" t="str">
            <v>07</v>
          </cell>
          <cell r="D1075" t="str">
            <v>00</v>
          </cell>
          <cell r="E1075" t="str">
            <v>000 00 00</v>
          </cell>
          <cell r="F1075" t="str">
            <v>000</v>
          </cell>
        </row>
        <row r="1076">
          <cell r="A1076" t="str">
            <v>Пособие по социальной помощи населению </v>
          </cell>
          <cell r="C1076" t="str">
            <v>07</v>
          </cell>
          <cell r="D1076" t="str">
            <v>00</v>
          </cell>
          <cell r="E1076" t="str">
            <v>000 00 00</v>
          </cell>
          <cell r="F1076" t="str">
            <v>000</v>
          </cell>
        </row>
        <row r="1077">
          <cell r="A1077" t="str">
            <v>ИТОГО:</v>
          </cell>
          <cell r="C1077" t="str">
            <v>07</v>
          </cell>
          <cell r="D1077" t="str">
            <v>00</v>
          </cell>
          <cell r="E1077" t="str">
            <v>000 00 00</v>
          </cell>
          <cell r="F1077" t="str">
            <v>000</v>
          </cell>
        </row>
        <row r="1078">
          <cell r="A1078" t="str">
            <v>Выполнение функций органами местного самоуправления</v>
          </cell>
          <cell r="B1078" t="str">
            <v>903</v>
          </cell>
          <cell r="C1078" t="str">
            <v>07</v>
          </cell>
          <cell r="D1078" t="str">
            <v>09</v>
          </cell>
          <cell r="E1078" t="str">
            <v>795 33 00</v>
          </cell>
          <cell r="F1078" t="str">
            <v>500</v>
          </cell>
        </row>
        <row r="1079">
          <cell r="A1079" t="str">
            <v>Культура и кинематография </v>
          </cell>
          <cell r="B1079" t="str">
            <v>905</v>
          </cell>
          <cell r="C1079" t="str">
            <v>08</v>
          </cell>
          <cell r="D1079" t="str">
            <v>00</v>
          </cell>
          <cell r="E1079" t="str">
            <v>000 00 00</v>
          </cell>
          <cell r="F1079" t="str">
            <v>000</v>
          </cell>
        </row>
        <row r="1080">
          <cell r="A1080" t="str">
            <v>Культура </v>
          </cell>
          <cell r="B1080" t="str">
            <v>905</v>
          </cell>
          <cell r="C1080" t="str">
            <v>08</v>
          </cell>
          <cell r="D1080" t="str">
            <v>01</v>
          </cell>
          <cell r="E1080" t="str">
            <v>000 00 00</v>
          </cell>
          <cell r="F1080" t="str">
            <v>000</v>
          </cell>
        </row>
        <row r="1081">
          <cell r="A1081" t="str">
            <v>Дворцы и дома культуры, другие учреждения культуры </v>
          </cell>
          <cell r="B1081" t="str">
            <v>905</v>
          </cell>
          <cell r="C1081" t="str">
            <v>08</v>
          </cell>
          <cell r="D1081" t="str">
            <v>01</v>
          </cell>
          <cell r="E1081" t="str">
            <v>440 00 00</v>
          </cell>
          <cell r="F1081" t="str">
            <v>000</v>
          </cell>
        </row>
        <row r="1082">
          <cell r="A1082" t="str">
            <v>Обеспечение деятельности подведомственных учреждений</v>
          </cell>
          <cell r="B1082" t="str">
            <v>905</v>
          </cell>
          <cell r="C1082" t="str">
            <v>08</v>
          </cell>
          <cell r="D1082" t="str">
            <v>01</v>
          </cell>
          <cell r="E1082" t="str">
            <v>440 99 00</v>
          </cell>
          <cell r="F1082" t="str">
            <v>000</v>
          </cell>
        </row>
        <row r="1083">
          <cell r="A1083" t="str">
            <v>Субсидии некоммерческим организациям</v>
          </cell>
          <cell r="B1083" t="str">
            <v>905</v>
          </cell>
          <cell r="C1083" t="str">
            <v>08</v>
          </cell>
          <cell r="D1083" t="str">
            <v>01</v>
          </cell>
          <cell r="E1083" t="str">
            <v>440 99 00</v>
          </cell>
          <cell r="F1083" t="str">
            <v>019</v>
          </cell>
        </row>
        <row r="1084">
          <cell r="A1084" t="str">
            <v>Расходы</v>
          </cell>
          <cell r="B1084" t="str">
            <v>905</v>
          </cell>
          <cell r="C1084" t="str">
            <v>08</v>
          </cell>
          <cell r="D1084" t="str">
            <v>01</v>
          </cell>
          <cell r="E1084" t="str">
            <v>440 99 00</v>
          </cell>
          <cell r="F1084" t="str">
            <v>001</v>
          </cell>
        </row>
        <row r="1085">
          <cell r="A1085" t="str">
            <v>Оплата труда и начисления на оплату труда</v>
          </cell>
          <cell r="B1085" t="str">
            <v>905</v>
          </cell>
          <cell r="C1085" t="str">
            <v>08</v>
          </cell>
          <cell r="D1085" t="str">
            <v>01</v>
          </cell>
          <cell r="E1085" t="str">
            <v>440 99 00</v>
          </cell>
          <cell r="F1085" t="str">
            <v>001</v>
          </cell>
        </row>
        <row r="1086">
          <cell r="A1086" t="str">
            <v>Заработная плата</v>
          </cell>
          <cell r="B1086" t="str">
            <v>905</v>
          </cell>
          <cell r="C1086" t="str">
            <v>08</v>
          </cell>
          <cell r="D1086" t="str">
            <v>01</v>
          </cell>
          <cell r="E1086" t="str">
            <v>440 99 00</v>
          </cell>
          <cell r="F1086" t="str">
            <v>001</v>
          </cell>
        </row>
        <row r="1087">
          <cell r="A1087" t="str">
            <v>Прочие выплаты</v>
          </cell>
          <cell r="B1087" t="str">
            <v>905</v>
          </cell>
          <cell r="C1087" t="str">
            <v>08</v>
          </cell>
          <cell r="D1087" t="str">
            <v>01</v>
          </cell>
          <cell r="E1087" t="str">
            <v>440 99 00</v>
          </cell>
          <cell r="F1087" t="str">
            <v>001</v>
          </cell>
        </row>
        <row r="1088">
          <cell r="A1088" t="str">
            <v>Начисление на оплату труда</v>
          </cell>
          <cell r="B1088" t="str">
            <v>905</v>
          </cell>
          <cell r="C1088" t="str">
            <v>08</v>
          </cell>
          <cell r="D1088" t="str">
            <v>01</v>
          </cell>
          <cell r="E1088" t="str">
            <v>440 99 00</v>
          </cell>
          <cell r="F1088" t="str">
            <v>001</v>
          </cell>
        </row>
        <row r="1089">
          <cell r="A1089" t="str">
            <v>Приобретение услуг</v>
          </cell>
          <cell r="B1089" t="str">
            <v>905</v>
          </cell>
          <cell r="C1089" t="str">
            <v>08</v>
          </cell>
          <cell r="D1089" t="str">
            <v>01</v>
          </cell>
          <cell r="E1089" t="str">
            <v>440 99 00</v>
          </cell>
          <cell r="F1089" t="str">
            <v>001</v>
          </cell>
        </row>
        <row r="1090">
          <cell r="A1090" t="str">
            <v>Услуги связи </v>
          </cell>
          <cell r="B1090" t="str">
            <v>905</v>
          </cell>
          <cell r="C1090" t="str">
            <v>08</v>
          </cell>
          <cell r="D1090" t="str">
            <v>01</v>
          </cell>
          <cell r="E1090" t="str">
            <v>440 99 00</v>
          </cell>
          <cell r="F1090" t="str">
            <v>001</v>
          </cell>
        </row>
        <row r="1091">
          <cell r="A1091" t="str">
            <v>Транспортные услуги</v>
          </cell>
          <cell r="B1091" t="str">
            <v>905</v>
          </cell>
          <cell r="C1091" t="str">
            <v>08</v>
          </cell>
          <cell r="D1091" t="str">
            <v>01</v>
          </cell>
          <cell r="E1091" t="str">
            <v>440 99 00</v>
          </cell>
          <cell r="F1091" t="str">
            <v>001</v>
          </cell>
        </row>
        <row r="1092">
          <cell r="A1092" t="str">
            <v>Коммунальные услуги</v>
          </cell>
          <cell r="B1092" t="str">
            <v>905</v>
          </cell>
          <cell r="C1092" t="str">
            <v>08</v>
          </cell>
          <cell r="D1092" t="str">
            <v>01</v>
          </cell>
          <cell r="E1092" t="str">
            <v>440 99 00</v>
          </cell>
          <cell r="F1092" t="str">
            <v>001</v>
          </cell>
        </row>
        <row r="1093">
          <cell r="A1093" t="str">
            <v>Арендная плата за пользование иммуществом </v>
          </cell>
          <cell r="B1093" t="str">
            <v>905</v>
          </cell>
          <cell r="C1093" t="str">
            <v>08</v>
          </cell>
          <cell r="D1093" t="str">
            <v>01</v>
          </cell>
          <cell r="E1093" t="str">
            <v>440 99 00</v>
          </cell>
          <cell r="F1093" t="str">
            <v>001</v>
          </cell>
        </row>
        <row r="1094">
          <cell r="A1094" t="str">
            <v>Услуги по содержанию имущества</v>
          </cell>
          <cell r="B1094" t="str">
            <v>905</v>
          </cell>
          <cell r="C1094" t="str">
            <v>08</v>
          </cell>
          <cell r="D1094" t="str">
            <v>01</v>
          </cell>
          <cell r="E1094" t="str">
            <v>440 99 00</v>
          </cell>
          <cell r="F1094" t="str">
            <v>001</v>
          </cell>
        </row>
        <row r="1095">
          <cell r="A1095" t="str">
            <v>Услуги по содержанию имущества 8,40,00</v>
          </cell>
          <cell r="B1095" t="str">
            <v>905</v>
          </cell>
          <cell r="C1095" t="str">
            <v>08</v>
          </cell>
          <cell r="D1095" t="str">
            <v>01</v>
          </cell>
          <cell r="E1095" t="str">
            <v>440 99 00</v>
          </cell>
          <cell r="F1095" t="str">
            <v>001</v>
          </cell>
        </row>
        <row r="1096">
          <cell r="A1096" t="str">
            <v>Услуги по содержанию имущества 8,40,01</v>
          </cell>
          <cell r="B1096" t="str">
            <v>905</v>
          </cell>
          <cell r="C1096" t="str">
            <v>08</v>
          </cell>
          <cell r="D1096" t="str">
            <v>01</v>
          </cell>
          <cell r="E1096" t="str">
            <v>440 99 00</v>
          </cell>
          <cell r="F1096" t="str">
            <v>001</v>
          </cell>
        </row>
        <row r="1097">
          <cell r="A1097" t="str">
            <v>Прочие услуги</v>
          </cell>
          <cell r="B1097" t="str">
            <v>905</v>
          </cell>
          <cell r="C1097" t="str">
            <v>08</v>
          </cell>
          <cell r="D1097" t="str">
            <v>01</v>
          </cell>
          <cell r="E1097" t="str">
            <v>440 99 00</v>
          </cell>
          <cell r="F1097" t="str">
            <v>001</v>
          </cell>
        </row>
        <row r="1098">
          <cell r="A1098" t="str">
            <v>Прочие расходы </v>
          </cell>
          <cell r="B1098" t="str">
            <v>905</v>
          </cell>
          <cell r="C1098" t="str">
            <v>08</v>
          </cell>
          <cell r="D1098" t="str">
            <v>01</v>
          </cell>
          <cell r="E1098" t="str">
            <v>440 99 00</v>
          </cell>
          <cell r="F1098" t="str">
            <v>001</v>
          </cell>
        </row>
        <row r="1099">
          <cell r="A1099" t="str">
            <v>Поступление нефинансовых активов</v>
          </cell>
          <cell r="B1099" t="str">
            <v>905</v>
          </cell>
          <cell r="C1099" t="str">
            <v>08</v>
          </cell>
          <cell r="D1099" t="str">
            <v>01</v>
          </cell>
          <cell r="E1099" t="str">
            <v>440 99 00</v>
          </cell>
          <cell r="F1099" t="str">
            <v>001</v>
          </cell>
        </row>
        <row r="1100">
          <cell r="A1100" t="str">
            <v>Увеличение стоимости основных средств</v>
          </cell>
          <cell r="B1100" t="str">
            <v>905</v>
          </cell>
          <cell r="C1100" t="str">
            <v>08</v>
          </cell>
          <cell r="D1100" t="str">
            <v>01</v>
          </cell>
          <cell r="E1100" t="str">
            <v>440 99 00</v>
          </cell>
          <cell r="F1100" t="str">
            <v>001</v>
          </cell>
        </row>
        <row r="1101">
          <cell r="A1101" t="str">
            <v>Увеличение стоимости материальных запасов</v>
          </cell>
          <cell r="B1101" t="str">
            <v>905</v>
          </cell>
          <cell r="C1101" t="str">
            <v>08</v>
          </cell>
          <cell r="D1101" t="str">
            <v>01</v>
          </cell>
          <cell r="E1101" t="str">
            <v>440 99 00</v>
          </cell>
          <cell r="F1101" t="str">
            <v>001</v>
          </cell>
        </row>
        <row r="1102">
          <cell r="A1102" t="str">
            <v>Увеличение стоимости материальных запасов 8,40,01</v>
          </cell>
          <cell r="B1102" t="str">
            <v>905</v>
          </cell>
          <cell r="C1102" t="str">
            <v>08</v>
          </cell>
          <cell r="D1102" t="str">
            <v>01</v>
          </cell>
          <cell r="E1102" t="str">
            <v>441 99 00</v>
          </cell>
          <cell r="F1102" t="str">
            <v>001</v>
          </cell>
        </row>
        <row r="1103">
          <cell r="A1103" t="str">
            <v>8,40,02</v>
          </cell>
          <cell r="B1103" t="str">
            <v>905</v>
          </cell>
          <cell r="C1103" t="str">
            <v>08</v>
          </cell>
          <cell r="D1103" t="str">
            <v>01</v>
          </cell>
          <cell r="E1103" t="str">
            <v>440 99 00</v>
          </cell>
          <cell r="F1103" t="str">
            <v>001</v>
          </cell>
        </row>
        <row r="1104">
          <cell r="A1104" t="str">
            <v>Долгосрочная целевая программа Иркутской области «100 модельных домов культуры Приангарью» на 2011-2014 годы</v>
          </cell>
          <cell r="B1104" t="str">
            <v>905</v>
          </cell>
          <cell r="C1104" t="str">
            <v>08</v>
          </cell>
          <cell r="D1104" t="str">
            <v>01</v>
          </cell>
          <cell r="E1104" t="str">
            <v>522 55 00</v>
          </cell>
          <cell r="F1104" t="str">
            <v>000</v>
          </cell>
        </row>
        <row r="1105">
          <cell r="A1105" t="str">
            <v>Выполнение функций бюджетными учреждениями ОБ</v>
          </cell>
          <cell r="B1105" t="str">
            <v>905</v>
          </cell>
          <cell r="C1105" t="str">
            <v>08</v>
          </cell>
          <cell r="D1105" t="str">
            <v>01</v>
          </cell>
          <cell r="E1105" t="str">
            <v>522 55 00</v>
          </cell>
          <cell r="F1105" t="str">
            <v>010</v>
          </cell>
        </row>
        <row r="1106">
          <cell r="A1106" t="str">
            <v>Софинансирование программы "100 модельных домов культуры Приангарью" (Доп.ЭК 8.70.08.00)</v>
          </cell>
          <cell r="B1106" t="str">
            <v>905</v>
          </cell>
          <cell r="C1106" t="str">
            <v>08</v>
          </cell>
          <cell r="D1106" t="str">
            <v>01</v>
          </cell>
          <cell r="E1106" t="str">
            <v>440 99 00</v>
          </cell>
          <cell r="F1106" t="str">
            <v>019</v>
          </cell>
        </row>
        <row r="1107">
          <cell r="A1107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107" t="str">
            <v>905</v>
          </cell>
          <cell r="C1107" t="str">
            <v>08</v>
          </cell>
          <cell r="D1107" t="str">
            <v>01</v>
          </cell>
          <cell r="E1107" t="str">
            <v>590 00 00</v>
          </cell>
          <cell r="F1107" t="str">
            <v>000</v>
          </cell>
        </row>
        <row r="1108">
          <cell r="A1108" t="str">
            <v>Субсидии некоммерческим организациям</v>
          </cell>
          <cell r="B1108" t="str">
            <v>905</v>
          </cell>
          <cell r="C1108" t="str">
            <v>08</v>
          </cell>
          <cell r="D1108" t="str">
            <v>01</v>
          </cell>
          <cell r="E1108" t="str">
            <v>590 00 00</v>
          </cell>
          <cell r="F1108" t="str">
            <v>019</v>
          </cell>
        </row>
        <row r="1109">
          <cell r="A1109" t="str">
            <v>Библиотеки</v>
          </cell>
          <cell r="B1109" t="str">
            <v>905</v>
          </cell>
          <cell r="C1109" t="str">
            <v>08</v>
          </cell>
          <cell r="D1109" t="str">
            <v>01</v>
          </cell>
          <cell r="E1109" t="str">
            <v>442 00 00</v>
          </cell>
          <cell r="F1109" t="str">
            <v>000</v>
          </cell>
        </row>
        <row r="1110">
          <cell r="A1110" t="str">
            <v>Обеспечение деятельности подведомственных учреждений</v>
          </cell>
          <cell r="B1110" t="str">
            <v>905</v>
          </cell>
          <cell r="C1110" t="str">
            <v>08</v>
          </cell>
          <cell r="D1110" t="str">
            <v>01</v>
          </cell>
          <cell r="E1110" t="str">
            <v>442 99 00</v>
          </cell>
          <cell r="F1110" t="str">
            <v>000</v>
          </cell>
        </row>
        <row r="1111">
          <cell r="A1111" t="str">
            <v>Субсидии некоммерческим организациям</v>
          </cell>
          <cell r="B1111" t="str">
            <v>905</v>
          </cell>
          <cell r="C1111" t="str">
            <v>08</v>
          </cell>
          <cell r="D1111" t="str">
            <v>01</v>
          </cell>
          <cell r="E1111" t="str">
            <v>442 99 00</v>
          </cell>
          <cell r="F1111" t="str">
            <v>019</v>
          </cell>
        </row>
        <row r="1112">
          <cell r="A1112" t="str">
            <v>Расходы</v>
          </cell>
          <cell r="B1112" t="str">
            <v>905</v>
          </cell>
          <cell r="C1112" t="str">
            <v>08</v>
          </cell>
          <cell r="D1112" t="str">
            <v>01</v>
          </cell>
          <cell r="E1112" t="str">
            <v>442 99 00</v>
          </cell>
          <cell r="F1112" t="str">
            <v>001</v>
          </cell>
        </row>
        <row r="1113">
          <cell r="A1113" t="str">
            <v>Оплата труда и начисления на оплату труда</v>
          </cell>
          <cell r="B1113" t="str">
            <v>905</v>
          </cell>
          <cell r="C1113" t="str">
            <v>08</v>
          </cell>
          <cell r="D1113" t="str">
            <v>01</v>
          </cell>
          <cell r="E1113" t="str">
            <v>442 99 00</v>
          </cell>
          <cell r="F1113" t="str">
            <v>001</v>
          </cell>
        </row>
        <row r="1114">
          <cell r="A1114" t="str">
            <v>Заработная плата</v>
          </cell>
          <cell r="B1114" t="str">
            <v>905</v>
          </cell>
          <cell r="C1114" t="str">
            <v>08</v>
          </cell>
          <cell r="D1114" t="str">
            <v>01</v>
          </cell>
          <cell r="E1114" t="str">
            <v>442 99 00</v>
          </cell>
          <cell r="F1114" t="str">
            <v>001</v>
          </cell>
        </row>
        <row r="1115">
          <cell r="A1115" t="str">
            <v>Прочие выплаты</v>
          </cell>
          <cell r="B1115" t="str">
            <v>905</v>
          </cell>
          <cell r="C1115" t="str">
            <v>08</v>
          </cell>
          <cell r="D1115" t="str">
            <v>01</v>
          </cell>
          <cell r="E1115" t="str">
            <v>442 99 00</v>
          </cell>
          <cell r="F1115" t="str">
            <v>001</v>
          </cell>
        </row>
        <row r="1116">
          <cell r="A1116" t="str">
            <v>Начисление на оплату труда</v>
          </cell>
          <cell r="B1116" t="str">
            <v>905</v>
          </cell>
          <cell r="C1116" t="str">
            <v>08</v>
          </cell>
          <cell r="D1116" t="str">
            <v>01</v>
          </cell>
          <cell r="E1116" t="str">
            <v>442 99 00</v>
          </cell>
          <cell r="F1116" t="str">
            <v>001</v>
          </cell>
        </row>
        <row r="1117">
          <cell r="A1117" t="str">
            <v>Приобретение услуг</v>
          </cell>
          <cell r="B1117" t="str">
            <v>905</v>
          </cell>
          <cell r="C1117" t="str">
            <v>08</v>
          </cell>
          <cell r="D1117" t="str">
            <v>01</v>
          </cell>
          <cell r="E1117" t="str">
            <v>442 99 00</v>
          </cell>
          <cell r="F1117" t="str">
            <v>001</v>
          </cell>
        </row>
        <row r="1118">
          <cell r="A1118" t="str">
            <v>Услуги связи </v>
          </cell>
          <cell r="B1118" t="str">
            <v>905</v>
          </cell>
          <cell r="C1118" t="str">
            <v>08</v>
          </cell>
          <cell r="D1118" t="str">
            <v>01</v>
          </cell>
          <cell r="E1118" t="str">
            <v>442 99 00</v>
          </cell>
          <cell r="F1118" t="str">
            <v>001</v>
          </cell>
        </row>
        <row r="1119">
          <cell r="A1119" t="str">
            <v>Транспортные услуги</v>
          </cell>
          <cell r="B1119" t="str">
            <v>905</v>
          </cell>
          <cell r="C1119" t="str">
            <v>08</v>
          </cell>
          <cell r="D1119" t="str">
            <v>01</v>
          </cell>
          <cell r="E1119" t="str">
            <v>442 99 00</v>
          </cell>
          <cell r="F1119" t="str">
            <v>001</v>
          </cell>
        </row>
        <row r="1120">
          <cell r="A1120" t="str">
            <v>Коммунальные услуги</v>
          </cell>
          <cell r="B1120" t="str">
            <v>905</v>
          </cell>
          <cell r="C1120" t="str">
            <v>08</v>
          </cell>
          <cell r="D1120" t="str">
            <v>01</v>
          </cell>
          <cell r="E1120" t="str">
            <v>442 99 00</v>
          </cell>
          <cell r="F1120" t="str">
            <v>001</v>
          </cell>
        </row>
        <row r="1121">
          <cell r="A1121" t="str">
            <v>Арендная плата за пользование иммуществом </v>
          </cell>
          <cell r="B1121" t="str">
            <v>905</v>
          </cell>
          <cell r="C1121" t="str">
            <v>08</v>
          </cell>
          <cell r="D1121" t="str">
            <v>01</v>
          </cell>
          <cell r="E1121" t="str">
            <v>442 99 00</v>
          </cell>
          <cell r="F1121" t="str">
            <v>001</v>
          </cell>
        </row>
        <row r="1122">
          <cell r="A1122" t="str">
            <v>Услуги по содержанию иммущества</v>
          </cell>
          <cell r="B1122" t="str">
            <v>905</v>
          </cell>
          <cell r="C1122" t="str">
            <v>08</v>
          </cell>
          <cell r="D1122" t="str">
            <v>01</v>
          </cell>
          <cell r="E1122" t="str">
            <v>442 99 00</v>
          </cell>
          <cell r="F1122" t="str">
            <v>001</v>
          </cell>
        </row>
        <row r="1123">
          <cell r="A1123" t="str">
            <v>Услуги по содержанию иммущества 8,40,00</v>
          </cell>
          <cell r="B1123" t="str">
            <v>905</v>
          </cell>
          <cell r="C1123" t="str">
            <v>08</v>
          </cell>
          <cell r="D1123" t="str">
            <v>01</v>
          </cell>
          <cell r="E1123" t="str">
            <v>442 99 00</v>
          </cell>
          <cell r="F1123" t="str">
            <v>001</v>
          </cell>
        </row>
        <row r="1124">
          <cell r="A1124" t="str">
            <v>Услуги по содержанию иммущества 8,40,01</v>
          </cell>
          <cell r="B1124" t="str">
            <v>905</v>
          </cell>
          <cell r="C1124" t="str">
            <v>08</v>
          </cell>
          <cell r="D1124" t="str">
            <v>01</v>
          </cell>
          <cell r="E1124" t="str">
            <v>442 99 00</v>
          </cell>
          <cell r="F1124" t="str">
            <v>001</v>
          </cell>
        </row>
        <row r="1125">
          <cell r="A1125" t="str">
            <v>Прочие услуги</v>
          </cell>
          <cell r="B1125" t="str">
            <v>905</v>
          </cell>
          <cell r="C1125" t="str">
            <v>08</v>
          </cell>
          <cell r="D1125" t="str">
            <v>01</v>
          </cell>
          <cell r="E1125" t="str">
            <v>442 99 00</v>
          </cell>
          <cell r="F1125" t="str">
            <v>001</v>
          </cell>
        </row>
        <row r="1126">
          <cell r="A1126" t="str">
            <v>Прочие расходы </v>
          </cell>
          <cell r="B1126" t="str">
            <v>905</v>
          </cell>
          <cell r="C1126" t="str">
            <v>08</v>
          </cell>
          <cell r="D1126" t="str">
            <v>01</v>
          </cell>
          <cell r="E1126" t="str">
            <v>442 99 00</v>
          </cell>
          <cell r="F1126" t="str">
            <v>001</v>
          </cell>
        </row>
        <row r="1127">
          <cell r="A1127" t="str">
            <v>Поступление нефинансовых активов</v>
          </cell>
          <cell r="B1127" t="str">
            <v>905</v>
          </cell>
          <cell r="C1127" t="str">
            <v>08</v>
          </cell>
          <cell r="D1127" t="str">
            <v>01</v>
          </cell>
          <cell r="E1127" t="str">
            <v>442 99 00</v>
          </cell>
          <cell r="F1127" t="str">
            <v>001</v>
          </cell>
        </row>
        <row r="1128">
          <cell r="A1128" t="str">
            <v>Увеличение стоимости основных средств</v>
          </cell>
          <cell r="B1128" t="str">
            <v>905</v>
          </cell>
          <cell r="C1128" t="str">
            <v>08</v>
          </cell>
          <cell r="D1128" t="str">
            <v>01</v>
          </cell>
          <cell r="E1128" t="str">
            <v>442 99 00</v>
          </cell>
          <cell r="F1128" t="str">
            <v>001</v>
          </cell>
        </row>
        <row r="1129">
          <cell r="A1129" t="str">
            <v>Увеличение стоимости материальных запасов</v>
          </cell>
          <cell r="B1129" t="str">
            <v>905</v>
          </cell>
          <cell r="C1129" t="str">
            <v>08</v>
          </cell>
          <cell r="D1129" t="str">
            <v>01</v>
          </cell>
          <cell r="E1129" t="str">
            <v>442 99 00</v>
          </cell>
          <cell r="F1129" t="str">
            <v>001</v>
          </cell>
        </row>
        <row r="1130">
          <cell r="A1130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130" t="str">
            <v>905</v>
          </cell>
          <cell r="C1130" t="str">
            <v>08</v>
          </cell>
          <cell r="D1130" t="str">
            <v>01</v>
          </cell>
          <cell r="E1130" t="str">
            <v>590 00 00</v>
          </cell>
          <cell r="F1130" t="str">
            <v>000</v>
          </cell>
        </row>
        <row r="1131">
          <cell r="A1131" t="str">
            <v>Субсидии некоммерческим организациям</v>
          </cell>
          <cell r="B1131" t="str">
            <v>905</v>
          </cell>
          <cell r="C1131" t="str">
            <v>08</v>
          </cell>
          <cell r="D1131" t="str">
            <v>01</v>
          </cell>
          <cell r="E1131" t="str">
            <v>590 00 00</v>
          </cell>
          <cell r="F1131" t="str">
            <v>019</v>
          </cell>
        </row>
        <row r="1132">
          <cell r="A1132" t="str">
            <v>Мероприятия в сфере культуры, кинематографии </v>
          </cell>
          <cell r="B1132" t="str">
            <v>905</v>
          </cell>
          <cell r="C1132" t="str">
            <v>08</v>
          </cell>
          <cell r="D1132" t="str">
            <v>01</v>
          </cell>
          <cell r="E1132" t="str">
            <v>440 00 00</v>
          </cell>
          <cell r="F1132" t="str">
            <v>000</v>
          </cell>
        </row>
        <row r="1133">
          <cell r="A1133" t="str">
            <v>Комплектование книжных фондов библиотек
муниципальных образований и государственных библиотек ФБ
городов Москвы и Санкт-Петербурга за счет средств федерального бюджета</v>
          </cell>
          <cell r="B1133" t="str">
            <v>905</v>
          </cell>
          <cell r="C1133" t="str">
            <v>08</v>
          </cell>
          <cell r="D1133" t="str">
            <v>01</v>
          </cell>
          <cell r="E1133" t="str">
            <v>440 02 01</v>
          </cell>
          <cell r="F1133" t="str">
            <v>000</v>
          </cell>
        </row>
        <row r="1134">
          <cell r="A1134" t="str">
            <v>Иные межбюджетные трансферты</v>
          </cell>
          <cell r="B1134" t="str">
            <v>905</v>
          </cell>
          <cell r="C1134" t="str">
            <v>08</v>
          </cell>
          <cell r="D1134" t="str">
            <v>01</v>
          </cell>
          <cell r="E1134" t="str">
            <v>440 02 01</v>
          </cell>
          <cell r="F1134" t="str">
            <v>017</v>
          </cell>
        </row>
        <row r="1135">
          <cell r="A1135" t="str">
            <v>Поступление нефинансовых активов</v>
          </cell>
          <cell r="B1135">
            <v>905</v>
          </cell>
          <cell r="C1135" t="str">
            <v>08</v>
          </cell>
          <cell r="D1135" t="str">
            <v>01</v>
          </cell>
          <cell r="E1135" t="str">
            <v>440 02 01</v>
          </cell>
          <cell r="F1135" t="str">
            <v>001</v>
          </cell>
        </row>
        <row r="1136">
          <cell r="A1136" t="str">
            <v>Увеличение стоимости основных средств</v>
          </cell>
          <cell r="B1136">
            <v>905</v>
          </cell>
          <cell r="C1136" t="str">
            <v>08</v>
          </cell>
          <cell r="D1136" t="str">
            <v>01</v>
          </cell>
          <cell r="E1136" t="str">
            <v>440 02 01</v>
          </cell>
          <cell r="F1136" t="str">
            <v>001</v>
          </cell>
        </row>
        <row r="1137">
          <cell r="A1137" t="str">
            <v>Увеличение стоимости материальных запасов</v>
          </cell>
          <cell r="B1137">
            <v>905</v>
          </cell>
          <cell r="C1137" t="str">
            <v>08</v>
          </cell>
          <cell r="D1137" t="str">
            <v>01</v>
          </cell>
          <cell r="E1137" t="str">
            <v>440 02 01</v>
          </cell>
          <cell r="F1137" t="str">
            <v>001</v>
          </cell>
        </row>
        <row r="1138">
          <cell r="A1138" t="str">
            <v>Государственная поддержка в сфере культуры, кинематографии и средств массовой информации</v>
          </cell>
          <cell r="B1138" t="str">
            <v>905</v>
          </cell>
          <cell r="C1138" t="str">
            <v>08</v>
          </cell>
          <cell r="D1138" t="str">
            <v>01</v>
          </cell>
          <cell r="E1138" t="str">
            <v>440 02 01</v>
          </cell>
          <cell r="F1138" t="str">
            <v>000</v>
          </cell>
        </row>
        <row r="1139">
          <cell r="A1139" t="str">
            <v>Выполнение функций бюджетными учреждениями</v>
          </cell>
          <cell r="B1139" t="str">
            <v>905</v>
          </cell>
          <cell r="C1139" t="str">
            <v>08</v>
          </cell>
          <cell r="D1139" t="str">
            <v>01</v>
          </cell>
          <cell r="E1139" t="str">
            <v>440 02 01</v>
          </cell>
          <cell r="F1139" t="str">
            <v>001</v>
          </cell>
        </row>
        <row r="1140">
          <cell r="A1140" t="str">
            <v>Расходы</v>
          </cell>
          <cell r="B1140" t="str">
            <v>905</v>
          </cell>
          <cell r="C1140" t="str">
            <v>08</v>
          </cell>
          <cell r="D1140" t="str">
            <v>01</v>
          </cell>
          <cell r="E1140" t="str">
            <v>440 02 01</v>
          </cell>
          <cell r="F1140" t="str">
            <v>001</v>
          </cell>
        </row>
        <row r="1141">
          <cell r="A1141" t="str">
            <v>Приобретение услуг</v>
          </cell>
          <cell r="B1141" t="str">
            <v>905</v>
          </cell>
          <cell r="C1141" t="str">
            <v>08</v>
          </cell>
          <cell r="D1141" t="str">
            <v>01</v>
          </cell>
          <cell r="E1141" t="str">
            <v>440 02 01</v>
          </cell>
          <cell r="F1141" t="str">
            <v>001</v>
          </cell>
        </row>
        <row r="1142">
          <cell r="A1142" t="str">
            <v>Услуги по содержанию иммущества</v>
          </cell>
          <cell r="B1142" t="str">
            <v>905</v>
          </cell>
          <cell r="C1142" t="str">
            <v>08</v>
          </cell>
          <cell r="D1142" t="str">
            <v>01</v>
          </cell>
          <cell r="E1142" t="str">
            <v>440 02 01</v>
          </cell>
          <cell r="F1142" t="str">
            <v>001</v>
          </cell>
        </row>
        <row r="1143">
          <cell r="A1143" t="str">
            <v>Прочие услуги </v>
          </cell>
          <cell r="B1143" t="str">
            <v>905</v>
          </cell>
          <cell r="C1143" t="str">
            <v>08</v>
          </cell>
          <cell r="D1143" t="str">
            <v>01</v>
          </cell>
          <cell r="E1143" t="str">
            <v>440 02 01</v>
          </cell>
          <cell r="F1143" t="str">
            <v>001</v>
          </cell>
        </row>
        <row r="1144">
          <cell r="A1144" t="str">
            <v>Поступление нефинансовых активов</v>
          </cell>
          <cell r="B1144" t="str">
            <v>905</v>
          </cell>
          <cell r="C1144" t="str">
            <v>08</v>
          </cell>
          <cell r="D1144" t="str">
            <v>01</v>
          </cell>
          <cell r="E1144" t="str">
            <v>440 02 01</v>
          </cell>
          <cell r="F1144" t="str">
            <v>001</v>
          </cell>
        </row>
        <row r="1145">
          <cell r="A1145" t="str">
            <v>Увеличение стоимости основных средств</v>
          </cell>
          <cell r="B1145" t="str">
            <v>905</v>
          </cell>
          <cell r="C1145" t="str">
            <v>08</v>
          </cell>
          <cell r="D1145" t="str">
            <v>01</v>
          </cell>
          <cell r="E1145" t="str">
            <v>440 02 01</v>
          </cell>
          <cell r="F1145" t="str">
            <v>001</v>
          </cell>
        </row>
        <row r="1146">
          <cell r="A1146" t="str">
            <v>Увеличение стоимости материальных запасов</v>
          </cell>
          <cell r="B1146" t="str">
            <v>905</v>
          </cell>
          <cell r="C1146" t="str">
            <v>08</v>
          </cell>
          <cell r="D1146" t="str">
            <v>01</v>
          </cell>
          <cell r="E1146" t="str">
            <v>440 02 01</v>
          </cell>
          <cell r="F1146" t="str">
            <v>001</v>
          </cell>
        </row>
        <row r="1147">
          <cell r="A1147" t="str">
            <v>Учебно-методические кабинеты, центральные бухгалтерии, группы хоз.обслуживания, учебные фильмотеки</v>
          </cell>
          <cell r="B1147" t="str">
            <v>905</v>
          </cell>
          <cell r="C1147" t="str">
            <v>08</v>
          </cell>
          <cell r="D1147" t="str">
            <v>01</v>
          </cell>
          <cell r="E1147" t="str">
            <v>440 02 01</v>
          </cell>
          <cell r="F1147" t="str">
            <v>000</v>
          </cell>
        </row>
        <row r="1148">
          <cell r="A1148" t="str">
            <v>Обеспечение деятельности подведомственных учреждений</v>
          </cell>
          <cell r="B1148" t="str">
            <v>905</v>
          </cell>
          <cell r="C1148" t="str">
            <v>08</v>
          </cell>
          <cell r="D1148" t="str">
            <v>01</v>
          </cell>
          <cell r="E1148" t="str">
            <v>440 02 01</v>
          </cell>
          <cell r="F1148" t="str">
            <v>327</v>
          </cell>
        </row>
        <row r="1149">
          <cell r="A1149" t="str">
            <v>Оплата труда и начисления на оплату труда</v>
          </cell>
          <cell r="B1149" t="str">
            <v>905</v>
          </cell>
          <cell r="C1149" t="str">
            <v>08</v>
          </cell>
          <cell r="D1149" t="str">
            <v>01</v>
          </cell>
          <cell r="E1149" t="str">
            <v>440 02 01</v>
          </cell>
          <cell r="F1149" t="str">
            <v>327</v>
          </cell>
        </row>
        <row r="1150">
          <cell r="A1150" t="str">
            <v>Заработная плата</v>
          </cell>
          <cell r="B1150" t="str">
            <v>905</v>
          </cell>
          <cell r="C1150" t="str">
            <v>08</v>
          </cell>
          <cell r="D1150" t="str">
            <v>01</v>
          </cell>
          <cell r="E1150" t="str">
            <v>440 02 01</v>
          </cell>
          <cell r="F1150" t="str">
            <v>327</v>
          </cell>
        </row>
        <row r="1151">
          <cell r="A1151" t="str">
            <v>Прочие выплаты</v>
          </cell>
          <cell r="B1151" t="str">
            <v>905</v>
          </cell>
          <cell r="C1151" t="str">
            <v>08</v>
          </cell>
          <cell r="D1151" t="str">
            <v>01</v>
          </cell>
          <cell r="E1151" t="str">
            <v>440 02 01</v>
          </cell>
          <cell r="F1151" t="str">
            <v>327</v>
          </cell>
        </row>
        <row r="1152">
          <cell r="A1152" t="str">
            <v>Начисление на оплату труда</v>
          </cell>
          <cell r="B1152" t="str">
            <v>905</v>
          </cell>
          <cell r="C1152" t="str">
            <v>08</v>
          </cell>
          <cell r="D1152" t="str">
            <v>01</v>
          </cell>
          <cell r="E1152" t="str">
            <v>440 02 01</v>
          </cell>
          <cell r="F1152" t="str">
            <v>327</v>
          </cell>
        </row>
        <row r="1153">
          <cell r="A1153" t="str">
            <v>Приобретение услуг</v>
          </cell>
          <cell r="B1153" t="str">
            <v>905</v>
          </cell>
          <cell r="C1153" t="str">
            <v>08</v>
          </cell>
          <cell r="D1153" t="str">
            <v>01</v>
          </cell>
          <cell r="E1153" t="str">
            <v>440 02 01</v>
          </cell>
          <cell r="F1153" t="str">
            <v>327</v>
          </cell>
        </row>
        <row r="1154">
          <cell r="A1154" t="str">
            <v>Услуги связи </v>
          </cell>
          <cell r="B1154" t="str">
            <v>905</v>
          </cell>
          <cell r="C1154" t="str">
            <v>08</v>
          </cell>
          <cell r="D1154" t="str">
            <v>01</v>
          </cell>
          <cell r="E1154" t="str">
            <v>440 02 01</v>
          </cell>
          <cell r="F1154" t="str">
            <v>327</v>
          </cell>
        </row>
        <row r="1155">
          <cell r="A1155" t="str">
            <v>Транспортные услуги</v>
          </cell>
          <cell r="B1155" t="str">
            <v>905</v>
          </cell>
          <cell r="C1155" t="str">
            <v>08</v>
          </cell>
          <cell r="D1155" t="str">
            <v>01</v>
          </cell>
          <cell r="E1155" t="str">
            <v>440 02 01</v>
          </cell>
          <cell r="F1155" t="str">
            <v>327</v>
          </cell>
        </row>
        <row r="1156">
          <cell r="A1156" t="str">
            <v>Коммунальные услуги</v>
          </cell>
          <cell r="B1156" t="str">
            <v>905</v>
          </cell>
          <cell r="C1156" t="str">
            <v>08</v>
          </cell>
          <cell r="D1156" t="str">
            <v>01</v>
          </cell>
          <cell r="E1156" t="str">
            <v>440 02 01</v>
          </cell>
          <cell r="F1156" t="str">
            <v>327</v>
          </cell>
        </row>
        <row r="1157">
          <cell r="A1157" t="str">
            <v>Арендная плата за пользование иммуществом </v>
          </cell>
          <cell r="B1157" t="str">
            <v>905</v>
          </cell>
          <cell r="C1157" t="str">
            <v>08</v>
          </cell>
          <cell r="D1157" t="str">
            <v>01</v>
          </cell>
          <cell r="E1157" t="str">
            <v>440 02 01</v>
          </cell>
          <cell r="F1157" t="str">
            <v>327</v>
          </cell>
        </row>
        <row r="1158">
          <cell r="A1158" t="str">
            <v>Услуги по содержанию иммущества</v>
          </cell>
          <cell r="B1158" t="str">
            <v>905</v>
          </cell>
          <cell r="C1158" t="str">
            <v>08</v>
          </cell>
          <cell r="D1158" t="str">
            <v>01</v>
          </cell>
          <cell r="E1158" t="str">
            <v>440 02 01</v>
          </cell>
          <cell r="F1158" t="str">
            <v>327</v>
          </cell>
        </row>
        <row r="1159">
          <cell r="A1159" t="str">
            <v>Прочие услуги</v>
          </cell>
          <cell r="B1159" t="str">
            <v>905</v>
          </cell>
          <cell r="C1159" t="str">
            <v>08</v>
          </cell>
          <cell r="D1159" t="str">
            <v>01</v>
          </cell>
          <cell r="E1159" t="str">
            <v>440 02 01</v>
          </cell>
          <cell r="F1159" t="str">
            <v>327</v>
          </cell>
        </row>
        <row r="1160">
          <cell r="A1160" t="str">
            <v>Прочие расходы </v>
          </cell>
          <cell r="B1160" t="str">
            <v>905</v>
          </cell>
          <cell r="C1160" t="str">
            <v>08</v>
          </cell>
          <cell r="D1160" t="str">
            <v>01</v>
          </cell>
          <cell r="E1160" t="str">
            <v>440 02 01</v>
          </cell>
          <cell r="F1160" t="str">
            <v>327</v>
          </cell>
        </row>
        <row r="1161">
          <cell r="A1161" t="str">
            <v>Поступление нефинансовых активов</v>
          </cell>
          <cell r="B1161" t="str">
            <v>905</v>
          </cell>
          <cell r="C1161" t="str">
            <v>08</v>
          </cell>
          <cell r="D1161" t="str">
            <v>01</v>
          </cell>
          <cell r="E1161" t="str">
            <v>440 02 01</v>
          </cell>
          <cell r="F1161" t="str">
            <v>327</v>
          </cell>
        </row>
        <row r="1162">
          <cell r="A1162" t="str">
            <v>Увеличение стоимости основных средств</v>
          </cell>
          <cell r="B1162" t="str">
            <v>905</v>
          </cell>
          <cell r="C1162" t="str">
            <v>08</v>
          </cell>
          <cell r="D1162" t="str">
            <v>01</v>
          </cell>
          <cell r="E1162" t="str">
            <v>440 02 01</v>
          </cell>
          <cell r="F1162" t="str">
            <v>327</v>
          </cell>
        </row>
        <row r="1163">
          <cell r="A1163" t="str">
            <v>Увеличение стоимости материальных запасов</v>
          </cell>
          <cell r="B1163" t="str">
            <v>905</v>
          </cell>
          <cell r="C1163" t="str">
            <v>08</v>
          </cell>
          <cell r="D1163" t="str">
            <v>01</v>
          </cell>
          <cell r="E1163" t="str">
            <v>440 02 01</v>
          </cell>
          <cell r="F1163" t="str">
            <v>327</v>
          </cell>
        </row>
        <row r="1164">
          <cell r="A1164" t="str">
            <v>Региональные целевые программы</v>
          </cell>
          <cell r="B1164" t="str">
            <v>905</v>
          </cell>
          <cell r="C1164" t="str">
            <v>08</v>
          </cell>
          <cell r="D1164" t="str">
            <v>01</v>
          </cell>
          <cell r="E1164" t="str">
            <v>440 02 01</v>
          </cell>
          <cell r="F1164" t="str">
            <v>000</v>
          </cell>
        </row>
        <row r="1165">
          <cell r="A1165" t="str">
            <v>Государственная поддержка в сфере культуры, кинематографии и средств массовой информации </v>
          </cell>
          <cell r="B1165" t="str">
            <v>905</v>
          </cell>
          <cell r="C1165" t="str">
            <v>08</v>
          </cell>
          <cell r="D1165" t="str">
            <v>01</v>
          </cell>
          <cell r="E1165" t="str">
            <v>440 02 01</v>
          </cell>
          <cell r="F1165" t="str">
            <v>453</v>
          </cell>
        </row>
        <row r="1166">
          <cell r="A1166" t="str">
            <v>Прочие расходы </v>
          </cell>
          <cell r="B1166" t="str">
            <v>905</v>
          </cell>
          <cell r="C1166" t="str">
            <v>08</v>
          </cell>
          <cell r="D1166" t="str">
            <v>01</v>
          </cell>
          <cell r="E1166" t="str">
            <v>440 02 01</v>
          </cell>
          <cell r="F1166" t="str">
            <v>453</v>
          </cell>
        </row>
        <row r="1167">
          <cell r="A1167" t="str">
            <v>Телевидение и радиовещание</v>
          </cell>
          <cell r="B1167" t="str">
            <v>905</v>
          </cell>
          <cell r="C1167" t="str">
            <v>08</v>
          </cell>
          <cell r="D1167" t="str">
            <v>03</v>
          </cell>
          <cell r="E1167" t="str">
            <v>440 02 01</v>
          </cell>
          <cell r="F1167" t="str">
            <v>000</v>
          </cell>
        </row>
        <row r="1168">
          <cell r="A1168" t="str">
            <v>Мероприятия в сфере культуры, кинематографиии средств массовой информации </v>
          </cell>
          <cell r="B1168" t="str">
            <v>905</v>
          </cell>
          <cell r="C1168" t="str">
            <v>08</v>
          </cell>
          <cell r="D1168" t="str">
            <v>03</v>
          </cell>
          <cell r="E1168" t="str">
            <v>440 02 01</v>
          </cell>
          <cell r="F1168" t="str">
            <v>000</v>
          </cell>
        </row>
        <row r="1169">
          <cell r="A1169" t="str">
            <v>Государственная поддержка в сфере культуры, кинематографии и средств массовой информации </v>
          </cell>
          <cell r="B1169" t="str">
            <v>905</v>
          </cell>
          <cell r="C1169" t="str">
            <v>08</v>
          </cell>
          <cell r="D1169" t="str">
            <v>03</v>
          </cell>
          <cell r="E1169" t="str">
            <v>440 02 01</v>
          </cell>
          <cell r="F1169" t="str">
            <v>453</v>
          </cell>
        </row>
        <row r="1170">
          <cell r="A1170" t="str">
            <v>Прочие расходы </v>
          </cell>
          <cell r="B1170" t="str">
            <v>905</v>
          </cell>
          <cell r="C1170" t="str">
            <v>08</v>
          </cell>
          <cell r="D1170" t="str">
            <v>03</v>
          </cell>
          <cell r="E1170" t="str">
            <v>440 02 01</v>
          </cell>
          <cell r="F1170" t="str">
            <v>453</v>
          </cell>
        </row>
        <row r="1171">
          <cell r="A1171" t="str">
            <v>Периодическая печать  и издательства </v>
          </cell>
          <cell r="B1171" t="str">
            <v>905</v>
          </cell>
          <cell r="C1171" t="str">
            <v>08</v>
          </cell>
          <cell r="D1171" t="str">
            <v>04</v>
          </cell>
          <cell r="E1171" t="str">
            <v>440 02 01</v>
          </cell>
          <cell r="F1171" t="str">
            <v>000</v>
          </cell>
        </row>
        <row r="1172">
          <cell r="A1172" t="str">
            <v>Периодическая печать  </v>
          </cell>
          <cell r="B1172" t="str">
            <v>905</v>
          </cell>
          <cell r="C1172" t="str">
            <v>08</v>
          </cell>
          <cell r="D1172" t="str">
            <v>04</v>
          </cell>
          <cell r="E1172" t="str">
            <v>440 02 01</v>
          </cell>
          <cell r="F1172" t="str">
            <v>000</v>
          </cell>
        </row>
        <row r="1173">
          <cell r="A1173" t="str">
            <v>Государственная поддержка в сфере культуры, кинематографии и средств массовой информации </v>
          </cell>
          <cell r="B1173" t="str">
            <v>905</v>
          </cell>
          <cell r="C1173" t="str">
            <v>08</v>
          </cell>
          <cell r="D1173" t="str">
            <v>04</v>
          </cell>
          <cell r="E1173" t="str">
            <v>440 02 01</v>
          </cell>
          <cell r="F1173" t="str">
            <v>453</v>
          </cell>
        </row>
        <row r="1174">
          <cell r="A1174" t="str">
            <v>Безвозмездные и безвозвратные перечисления  организациям, за исключением государственных и муниципальных организаций </v>
          </cell>
          <cell r="B1174" t="str">
            <v>905</v>
          </cell>
          <cell r="C1174" t="str">
            <v>08</v>
          </cell>
          <cell r="D1174" t="str">
            <v>04</v>
          </cell>
          <cell r="E1174" t="str">
            <v>440 02 01</v>
          </cell>
          <cell r="F1174" t="str">
            <v>453</v>
          </cell>
        </row>
        <row r="1175">
          <cell r="A1175" t="str">
            <v>Софинансирование социальных программ субъектов Российской Федерации, связанных с предоставлением субсидий бюджетам субъектов Российской Федерации на социальные программы субъектов Российской Федерации, связанные с укреплением материально-технической базы </v>
          </cell>
          <cell r="B1175" t="str">
            <v>905</v>
          </cell>
          <cell r="C1175" t="str">
            <v>08</v>
          </cell>
          <cell r="D1175" t="str">
            <v>01</v>
          </cell>
          <cell r="E1175" t="str">
            <v>440 02 01</v>
          </cell>
          <cell r="F1175" t="str">
            <v>000</v>
          </cell>
        </row>
        <row r="1176">
          <cell r="A1176" t="str">
            <v>Субсидии в целях софинансирования расходных обязательств на создание условий для обеспечения поселений, входящих в состав муниципальных образований, услугами культуры</v>
          </cell>
          <cell r="B1176" t="str">
            <v>905</v>
          </cell>
          <cell r="C1176" t="str">
            <v>08</v>
          </cell>
          <cell r="D1176" t="str">
            <v>01</v>
          </cell>
          <cell r="E1176" t="str">
            <v>440 02 01</v>
          </cell>
          <cell r="F1176" t="str">
            <v>000</v>
          </cell>
        </row>
        <row r="1177">
          <cell r="A1177" t="str">
            <v>Выполнение функций бюджетными учреждениями</v>
          </cell>
          <cell r="B1177" t="str">
            <v>905</v>
          </cell>
          <cell r="C1177" t="str">
            <v>08</v>
          </cell>
          <cell r="D1177" t="str">
            <v>01</v>
          </cell>
          <cell r="E1177" t="str">
            <v>440 02 01</v>
          </cell>
          <cell r="F1177" t="str">
            <v>001</v>
          </cell>
        </row>
        <row r="1178">
          <cell r="A1178" t="str">
            <v>Расходы</v>
          </cell>
          <cell r="B1178" t="str">
            <v>905</v>
          </cell>
          <cell r="C1178" t="str">
            <v>08</v>
          </cell>
          <cell r="D1178" t="str">
            <v>01</v>
          </cell>
          <cell r="E1178" t="str">
            <v>440 02 01</v>
          </cell>
          <cell r="F1178" t="str">
            <v>001</v>
          </cell>
        </row>
        <row r="1179">
          <cell r="A1179" t="str">
            <v>Приобретение услуг</v>
          </cell>
          <cell r="B1179" t="str">
            <v>905</v>
          </cell>
          <cell r="C1179" t="str">
            <v>08</v>
          </cell>
          <cell r="D1179" t="str">
            <v>01</v>
          </cell>
          <cell r="E1179" t="str">
            <v>440 02 01</v>
          </cell>
          <cell r="F1179" t="str">
            <v>001</v>
          </cell>
        </row>
        <row r="1180">
          <cell r="A1180" t="str">
            <v>Транспортные услуги</v>
          </cell>
          <cell r="B1180" t="str">
            <v>905</v>
          </cell>
          <cell r="C1180" t="str">
            <v>08</v>
          </cell>
          <cell r="D1180" t="str">
            <v>01</v>
          </cell>
          <cell r="E1180" t="str">
            <v>440 02 01</v>
          </cell>
          <cell r="F1180" t="str">
            <v>001</v>
          </cell>
        </row>
        <row r="1181">
          <cell r="A1181" t="str">
            <v>Работы, услуги по содержанию имущества</v>
          </cell>
          <cell r="B1181" t="str">
            <v>905</v>
          </cell>
          <cell r="C1181" t="str">
            <v>08</v>
          </cell>
          <cell r="D1181" t="str">
            <v>01</v>
          </cell>
          <cell r="E1181" t="str">
            <v>440 02 01</v>
          </cell>
          <cell r="F1181" t="str">
            <v>001</v>
          </cell>
        </row>
        <row r="1182">
          <cell r="E1182" t="str">
            <v>440 02 01</v>
          </cell>
        </row>
        <row r="1183">
          <cell r="E1183" t="str">
            <v>440 02 01</v>
          </cell>
        </row>
        <row r="1184">
          <cell r="E1184" t="str">
            <v>440 02 01</v>
          </cell>
        </row>
        <row r="1185">
          <cell r="A1185" t="str">
            <v>Поступление нефинансовых активов</v>
          </cell>
          <cell r="B1185" t="str">
            <v>905</v>
          </cell>
          <cell r="C1185" t="str">
            <v>08</v>
          </cell>
          <cell r="D1185" t="str">
            <v>01</v>
          </cell>
          <cell r="E1185" t="str">
            <v>440 02 01</v>
          </cell>
          <cell r="F1185" t="str">
            <v>001</v>
          </cell>
        </row>
        <row r="1186">
          <cell r="A1186" t="str">
            <v>Увеличение стоимости основных средств</v>
          </cell>
          <cell r="B1186" t="str">
            <v>905</v>
          </cell>
          <cell r="C1186" t="str">
            <v>08</v>
          </cell>
          <cell r="D1186" t="str">
            <v>01</v>
          </cell>
          <cell r="E1186" t="str">
            <v>440 02 01</v>
          </cell>
          <cell r="F1186" t="str">
            <v>001</v>
          </cell>
        </row>
        <row r="1187">
          <cell r="A1187" t="str">
            <v>Увеличение стоимости материальных запасов</v>
          </cell>
          <cell r="B1187" t="str">
            <v>905</v>
          </cell>
          <cell r="C1187" t="str">
            <v>08</v>
          </cell>
          <cell r="D1187" t="str">
            <v>01</v>
          </cell>
          <cell r="E1187" t="str">
            <v>440 02 01</v>
          </cell>
          <cell r="F1187" t="str">
            <v>001</v>
          </cell>
        </row>
        <row r="1188">
          <cell r="A1188" t="str">
            <v>Целевые программы муниципальных образований "Обеспечение пожарной безопасности"</v>
          </cell>
          <cell r="B1188" t="str">
            <v>905</v>
          </cell>
          <cell r="C1188" t="str">
            <v>08</v>
          </cell>
          <cell r="D1188" t="str">
            <v>01</v>
          </cell>
          <cell r="E1188" t="str">
            <v>440 02 01</v>
          </cell>
          <cell r="F1188" t="str">
            <v>000</v>
          </cell>
        </row>
        <row r="1189">
          <cell r="A1189" t="str">
            <v>Выполнение функций органами местного самоуправления</v>
          </cell>
          <cell r="B1189" t="str">
            <v>905</v>
          </cell>
          <cell r="C1189" t="str">
            <v>08</v>
          </cell>
          <cell r="D1189" t="str">
            <v>01</v>
          </cell>
          <cell r="E1189" t="str">
            <v>440 02 01</v>
          </cell>
          <cell r="F1189" t="str">
            <v>500</v>
          </cell>
        </row>
        <row r="1190">
          <cell r="A1190" t="str">
            <v>Расходы</v>
          </cell>
          <cell r="B1190" t="str">
            <v>905</v>
          </cell>
          <cell r="C1190" t="str">
            <v>08</v>
          </cell>
          <cell r="D1190" t="str">
            <v>01</v>
          </cell>
          <cell r="E1190" t="str">
            <v>440 02 01</v>
          </cell>
          <cell r="F1190" t="str">
            <v>500</v>
          </cell>
        </row>
        <row r="1191">
          <cell r="A1191" t="str">
            <v>Приобретение услуг</v>
          </cell>
          <cell r="B1191" t="str">
            <v>905</v>
          </cell>
          <cell r="C1191" t="str">
            <v>08</v>
          </cell>
          <cell r="D1191" t="str">
            <v>01</v>
          </cell>
          <cell r="E1191" t="str">
            <v>440 02 01</v>
          </cell>
          <cell r="F1191" t="str">
            <v>500</v>
          </cell>
        </row>
        <row r="1192">
          <cell r="A1192" t="str">
            <v>Прочие услуги </v>
          </cell>
          <cell r="B1192" t="str">
            <v>905</v>
          </cell>
          <cell r="C1192" t="str">
            <v>08</v>
          </cell>
          <cell r="D1192" t="str">
            <v>01</v>
          </cell>
          <cell r="E1192" t="str">
            <v>440 02 01</v>
          </cell>
          <cell r="F1192" t="str">
            <v>500</v>
          </cell>
        </row>
        <row r="1193">
          <cell r="A1193" t="str">
            <v>Поступление нефинансовых активов</v>
          </cell>
          <cell r="B1193" t="str">
            <v>905</v>
          </cell>
          <cell r="C1193" t="str">
            <v>08</v>
          </cell>
          <cell r="D1193" t="str">
            <v>01</v>
          </cell>
          <cell r="E1193" t="str">
            <v>440 02 01</v>
          </cell>
          <cell r="F1193" t="str">
            <v>500</v>
          </cell>
        </row>
        <row r="1194">
          <cell r="A1194" t="str">
            <v>Увеличение стоимости основных средств</v>
          </cell>
          <cell r="B1194" t="str">
            <v>905</v>
          </cell>
          <cell r="C1194" t="str">
            <v>08</v>
          </cell>
          <cell r="D1194" t="str">
            <v>01</v>
          </cell>
          <cell r="E1194" t="str">
            <v>440 02 01</v>
          </cell>
          <cell r="F1194" t="str">
            <v>500</v>
          </cell>
        </row>
        <row r="1195">
          <cell r="A1195" t="str">
            <v>Комплектование книжных фондов библиотек
муниципальных образований и государственных библиотек ОБ
городов Москвы и Санкт-Петербурга за счет областного бюджета</v>
          </cell>
          <cell r="B1195">
            <v>905</v>
          </cell>
          <cell r="C1195" t="str">
            <v>08</v>
          </cell>
          <cell r="D1195" t="str">
            <v>01</v>
          </cell>
          <cell r="E1195" t="str">
            <v>440 02 02</v>
          </cell>
          <cell r="F1195" t="str">
            <v>000</v>
          </cell>
        </row>
        <row r="1196">
          <cell r="A1196" t="str">
            <v>Иные межбюджетные трансферты</v>
          </cell>
          <cell r="B1196">
            <v>905</v>
          </cell>
          <cell r="C1196" t="str">
            <v>08</v>
          </cell>
          <cell r="D1196" t="str">
            <v>01</v>
          </cell>
          <cell r="E1196" t="str">
            <v>440 02 02</v>
          </cell>
          <cell r="F1196" t="str">
            <v>017</v>
          </cell>
        </row>
        <row r="1197">
          <cell r="A1197" t="str">
            <v>Увеличение стоимости основных средств</v>
          </cell>
          <cell r="B1197">
            <v>905</v>
          </cell>
          <cell r="C1197" t="str">
            <v>08</v>
          </cell>
          <cell r="D1197" t="str">
            <v>01</v>
          </cell>
          <cell r="E1197" t="str">
            <v>440 02 02</v>
          </cell>
          <cell r="F1197" t="str">
            <v>001</v>
          </cell>
        </row>
        <row r="1198">
          <cell r="A1198" t="str">
            <v>Комплектование книжных фондов библиотек
муниципальных образований и государственных библиотек МБ
городов Москвы и Санкт-Петербурга за счет областного бюджета</v>
          </cell>
          <cell r="B1198">
            <v>905</v>
          </cell>
          <cell r="C1198" t="str">
            <v>08</v>
          </cell>
          <cell r="D1198" t="str">
            <v>01</v>
          </cell>
          <cell r="E1198" t="str">
            <v>440 02 03</v>
          </cell>
          <cell r="F1198" t="str">
            <v>000</v>
          </cell>
        </row>
        <row r="1199">
          <cell r="A1199" t="str">
            <v>Иные межбюджетные трансферты</v>
          </cell>
          <cell r="B1199">
            <v>905</v>
          </cell>
          <cell r="C1199" t="str">
            <v>08</v>
          </cell>
          <cell r="D1199" t="str">
            <v>01</v>
          </cell>
          <cell r="E1199" t="str">
            <v>440 02 03</v>
          </cell>
          <cell r="F1199" t="str">
            <v>017</v>
          </cell>
        </row>
        <row r="1200">
          <cell r="A1200" t="str">
            <v>Увеличение стоимости основных средств</v>
          </cell>
          <cell r="B1200">
            <v>905</v>
          </cell>
          <cell r="C1200" t="str">
            <v>08</v>
          </cell>
          <cell r="D1200" t="str">
            <v>01</v>
          </cell>
          <cell r="E1200" t="str">
            <v>440 02 03</v>
          </cell>
          <cell r="F1200" t="str">
            <v>001</v>
          </cell>
        </row>
        <row r="1201">
          <cell r="A1201" t="str">
            <v>Долгосрочная целевая программа Иркутской области "50 модельных домов культуры Приангарью" на 2011-2013 годы</v>
          </cell>
          <cell r="B1201">
            <v>905</v>
          </cell>
          <cell r="C1201" t="str">
            <v>08</v>
          </cell>
          <cell r="D1201" t="str">
            <v>01</v>
          </cell>
          <cell r="E1201" t="str">
            <v>522 55 00</v>
          </cell>
          <cell r="F1201" t="str">
            <v>000</v>
          </cell>
        </row>
        <row r="1202">
          <cell r="A1202" t="str">
            <v>Фонд софинансирования</v>
          </cell>
          <cell r="B1202">
            <v>905</v>
          </cell>
          <cell r="C1202" t="str">
            <v>08</v>
          </cell>
          <cell r="D1202" t="str">
            <v>01</v>
          </cell>
          <cell r="E1202" t="str">
            <v>522 55 00</v>
          </cell>
          <cell r="F1202" t="str">
            <v>010</v>
          </cell>
        </row>
        <row r="1203">
          <cell r="A1203" t="str">
            <v>Расходы</v>
          </cell>
          <cell r="B1203">
            <v>905</v>
          </cell>
          <cell r="C1203" t="str">
            <v>08</v>
          </cell>
          <cell r="D1203" t="str">
            <v>01</v>
          </cell>
          <cell r="E1203" t="str">
            <v>522 55 00</v>
          </cell>
          <cell r="F1203" t="str">
            <v>010</v>
          </cell>
        </row>
        <row r="1204">
          <cell r="A1204" t="str">
            <v>Приобретение услуг</v>
          </cell>
          <cell r="B1204">
            <v>905</v>
          </cell>
          <cell r="C1204" t="str">
            <v>08</v>
          </cell>
          <cell r="D1204" t="str">
            <v>01</v>
          </cell>
          <cell r="E1204" t="str">
            <v>522 55 00</v>
          </cell>
          <cell r="F1204" t="str">
            <v>010</v>
          </cell>
        </row>
        <row r="1205">
          <cell r="A1205" t="str">
            <v>Услуги по содержанию иммущества</v>
          </cell>
          <cell r="B1205">
            <v>905</v>
          </cell>
          <cell r="C1205" t="str">
            <v>08</v>
          </cell>
          <cell r="D1205" t="str">
            <v>01</v>
          </cell>
          <cell r="E1205" t="str">
            <v>522 55 00</v>
          </cell>
          <cell r="F1205" t="str">
            <v>010</v>
          </cell>
        </row>
        <row r="1207">
          <cell r="B1207">
            <v>905</v>
          </cell>
          <cell r="C1207" t="str">
            <v>08</v>
          </cell>
          <cell r="D1207" t="str">
            <v>01</v>
          </cell>
          <cell r="E1207" t="str">
            <v>522 55 00</v>
          </cell>
          <cell r="F1207" t="str">
            <v>010</v>
          </cell>
        </row>
        <row r="1208">
          <cell r="B1208">
            <v>905</v>
          </cell>
          <cell r="C1208" t="str">
            <v>08</v>
          </cell>
          <cell r="D1208" t="str">
            <v>01</v>
          </cell>
          <cell r="E1208" t="str">
            <v>522 55 00</v>
          </cell>
          <cell r="F1208" t="str">
            <v>010</v>
          </cell>
        </row>
        <row r="1209">
          <cell r="A1209" t="str">
            <v>Целевые программы муниципальных образований </v>
          </cell>
          <cell r="B1209" t="str">
            <v>905</v>
          </cell>
          <cell r="C1209" t="str">
            <v>08</v>
          </cell>
          <cell r="D1209" t="str">
            <v>01</v>
          </cell>
          <cell r="E1209" t="str">
            <v>795 00 00</v>
          </cell>
          <cell r="F1209" t="str">
            <v>000</v>
          </cell>
        </row>
        <row r="1210">
          <cell r="A1210" t="str">
            <v>Обеспечение пожарной безопасности  в учреждениях культуры  Усольского района на 2011-2013 гг</v>
          </cell>
          <cell r="B1210" t="str">
            <v>905</v>
          </cell>
          <cell r="C1210" t="str">
            <v>08</v>
          </cell>
          <cell r="D1210" t="str">
            <v>01</v>
          </cell>
          <cell r="E1210" t="str">
            <v>795 18 00</v>
          </cell>
          <cell r="F1210" t="str">
            <v>000</v>
          </cell>
        </row>
        <row r="1211">
          <cell r="A1211" t="str">
            <v>Выполнение функций органами местного самоуправления</v>
          </cell>
          <cell r="B1211" t="str">
            <v>905</v>
          </cell>
          <cell r="C1211" t="str">
            <v>08</v>
          </cell>
          <cell r="D1211" t="str">
            <v>01</v>
          </cell>
          <cell r="E1211" t="str">
            <v>795 18 00</v>
          </cell>
          <cell r="F1211" t="str">
            <v>500</v>
          </cell>
        </row>
        <row r="1212">
          <cell r="A1212" t="str">
            <v>Приобретение услуг</v>
          </cell>
          <cell r="B1212" t="str">
            <v>905</v>
          </cell>
          <cell r="C1212" t="str">
            <v>08</v>
          </cell>
          <cell r="D1212" t="str">
            <v>01</v>
          </cell>
          <cell r="E1212" t="str">
            <v>795 00 00</v>
          </cell>
          <cell r="F1212" t="str">
            <v>500</v>
          </cell>
        </row>
        <row r="1213">
          <cell r="A1213" t="str">
            <v>Услуги связи </v>
          </cell>
          <cell r="B1213" t="str">
            <v>905</v>
          </cell>
          <cell r="C1213" t="str">
            <v>08</v>
          </cell>
          <cell r="D1213" t="str">
            <v>01</v>
          </cell>
          <cell r="E1213" t="str">
            <v>795 18 00</v>
          </cell>
          <cell r="F1213" t="str">
            <v>500</v>
          </cell>
        </row>
        <row r="1214">
          <cell r="A1214" t="str">
            <v>Услуги по содержанию иммущества</v>
          </cell>
          <cell r="B1214" t="str">
            <v>905</v>
          </cell>
          <cell r="C1214" t="str">
            <v>08</v>
          </cell>
          <cell r="D1214" t="str">
            <v>01</v>
          </cell>
          <cell r="E1214" t="str">
            <v>795 18 00</v>
          </cell>
          <cell r="F1214" t="str">
            <v>500</v>
          </cell>
        </row>
        <row r="1215">
          <cell r="A1215" t="str">
            <v>Прочие услуги</v>
          </cell>
          <cell r="B1215" t="str">
            <v>905</v>
          </cell>
          <cell r="C1215" t="str">
            <v>08</v>
          </cell>
          <cell r="D1215" t="str">
            <v>01</v>
          </cell>
          <cell r="E1215" t="str">
            <v>795 18 00</v>
          </cell>
          <cell r="F1215" t="str">
            <v>500</v>
          </cell>
        </row>
        <row r="1216">
          <cell r="A1216" t="str">
            <v>Поступление нефинансовых активов</v>
          </cell>
          <cell r="B1216" t="str">
            <v>905</v>
          </cell>
          <cell r="C1216" t="str">
            <v>08</v>
          </cell>
          <cell r="D1216" t="str">
            <v>01</v>
          </cell>
          <cell r="E1216" t="str">
            <v>795 17 00</v>
          </cell>
          <cell r="F1216" t="str">
            <v>500</v>
          </cell>
        </row>
        <row r="1217">
          <cell r="A1217" t="str">
            <v>Увеличение стоимости материальных запасов</v>
          </cell>
          <cell r="B1217" t="str">
            <v>905</v>
          </cell>
          <cell r="C1217" t="str">
            <v>08</v>
          </cell>
          <cell r="D1217" t="str">
            <v>01</v>
          </cell>
          <cell r="E1217" t="str">
            <v>795 17 00</v>
          </cell>
          <cell r="F1217" t="str">
            <v>500</v>
          </cell>
        </row>
        <row r="1218">
          <cell r="A1218" t="str">
            <v>Улучшение условий и охраны труда, обеспечение санитарно-гигиенического режима в учреждениях культуры Усольского района на 2012-2014годы</v>
          </cell>
          <cell r="B1218" t="str">
            <v>905</v>
          </cell>
          <cell r="C1218" t="str">
            <v>08</v>
          </cell>
          <cell r="D1218" t="str">
            <v>01</v>
          </cell>
          <cell r="E1218" t="str">
            <v>795 35 00</v>
          </cell>
          <cell r="F1218" t="str">
            <v>000</v>
          </cell>
        </row>
        <row r="1219">
          <cell r="A1219" t="str">
            <v>Выполнение функций органами местного самоуправления</v>
          </cell>
          <cell r="B1219" t="str">
            <v>905</v>
          </cell>
          <cell r="C1219" t="str">
            <v>08</v>
          </cell>
          <cell r="D1219" t="str">
            <v>01</v>
          </cell>
          <cell r="E1219" t="str">
            <v>795 35 00</v>
          </cell>
          <cell r="F1219" t="str">
            <v>500</v>
          </cell>
        </row>
        <row r="1220">
          <cell r="A1220" t="str">
            <v>Другие вопросы в области культуры, кинематографии </v>
          </cell>
          <cell r="B1220" t="str">
            <v>905</v>
          </cell>
          <cell r="C1220" t="str">
            <v>08</v>
          </cell>
          <cell r="D1220" t="str">
            <v>04</v>
          </cell>
          <cell r="E1220" t="str">
            <v>000 00 00</v>
          </cell>
          <cell r="F1220" t="str">
            <v>000</v>
          </cell>
        </row>
        <row r="1221">
          <cell r="A1221" t="str">
            <v>Руководство и управление в сфере установленных функций органов государственной власти субъектов РФ и органов местного самоуправления</v>
          </cell>
          <cell r="B1221" t="str">
            <v>905</v>
          </cell>
          <cell r="C1221" t="str">
            <v>08</v>
          </cell>
          <cell r="D1221" t="str">
            <v>04</v>
          </cell>
          <cell r="E1221" t="str">
            <v>002 00 00</v>
          </cell>
          <cell r="F1221" t="str">
            <v>000</v>
          </cell>
        </row>
        <row r="1222">
          <cell r="A1222" t="str">
            <v>Центральный аппарат</v>
          </cell>
          <cell r="B1222" t="str">
            <v>905</v>
          </cell>
          <cell r="C1222" t="str">
            <v>08</v>
          </cell>
          <cell r="D1222" t="str">
            <v>04</v>
          </cell>
          <cell r="E1222" t="str">
            <v>002 04 00</v>
          </cell>
          <cell r="F1222" t="str">
            <v>000</v>
          </cell>
        </row>
        <row r="1223">
          <cell r="A1223" t="str">
            <v>Выполнение функций органами местного самоуправления</v>
          </cell>
          <cell r="B1223" t="str">
            <v>905</v>
          </cell>
          <cell r="C1223" t="str">
            <v>08</v>
          </cell>
          <cell r="D1223" t="str">
            <v>04</v>
          </cell>
          <cell r="E1223" t="str">
            <v>002 04 00</v>
          </cell>
          <cell r="F1223" t="str">
            <v>500</v>
          </cell>
        </row>
        <row r="1224">
          <cell r="A1224" t="str">
            <v>Расходы</v>
          </cell>
          <cell r="B1224" t="str">
            <v>905</v>
          </cell>
          <cell r="C1224" t="str">
            <v>08</v>
          </cell>
          <cell r="D1224" t="str">
            <v>04</v>
          </cell>
          <cell r="E1224" t="str">
            <v>002 04 00</v>
          </cell>
          <cell r="F1224" t="str">
            <v>500</v>
          </cell>
        </row>
        <row r="1225">
          <cell r="A1225" t="str">
            <v>Оплата труда и начисления на оплату труда</v>
          </cell>
          <cell r="B1225" t="str">
            <v>905</v>
          </cell>
          <cell r="C1225" t="str">
            <v>08</v>
          </cell>
          <cell r="D1225" t="str">
            <v>04</v>
          </cell>
          <cell r="E1225" t="str">
            <v>002 04 00</v>
          </cell>
          <cell r="F1225" t="str">
            <v>500</v>
          </cell>
        </row>
        <row r="1226">
          <cell r="A1226" t="str">
            <v>Заработная плата</v>
          </cell>
          <cell r="B1226" t="str">
            <v>905</v>
          </cell>
          <cell r="C1226" t="str">
            <v>08</v>
          </cell>
          <cell r="D1226" t="str">
            <v>04</v>
          </cell>
          <cell r="E1226" t="str">
            <v>002 04 00</v>
          </cell>
          <cell r="F1226" t="str">
            <v>500</v>
          </cell>
        </row>
        <row r="1227">
          <cell r="A1227" t="str">
            <v>Прочие выплаты</v>
          </cell>
          <cell r="B1227" t="str">
            <v>905</v>
          </cell>
          <cell r="C1227" t="str">
            <v>08</v>
          </cell>
          <cell r="D1227" t="str">
            <v>04</v>
          </cell>
          <cell r="E1227" t="str">
            <v>002 04 00</v>
          </cell>
          <cell r="F1227" t="str">
            <v>500</v>
          </cell>
        </row>
        <row r="1228">
          <cell r="A1228" t="str">
            <v>Начисление на оплату труда</v>
          </cell>
          <cell r="B1228" t="str">
            <v>905</v>
          </cell>
          <cell r="C1228" t="str">
            <v>08</v>
          </cell>
          <cell r="D1228" t="str">
            <v>04</v>
          </cell>
          <cell r="E1228" t="str">
            <v>002 04 00</v>
          </cell>
          <cell r="F1228" t="str">
            <v>500</v>
          </cell>
        </row>
        <row r="1229">
          <cell r="A1229" t="str">
            <v>Приобретение услуг</v>
          </cell>
          <cell r="B1229" t="str">
            <v>905</v>
          </cell>
          <cell r="C1229" t="str">
            <v>08</v>
          </cell>
          <cell r="D1229" t="str">
            <v>04</v>
          </cell>
          <cell r="E1229" t="str">
            <v>002 04 00</v>
          </cell>
          <cell r="F1229" t="str">
            <v>500</v>
          </cell>
        </row>
        <row r="1230">
          <cell r="A1230" t="str">
            <v>Услуги связи </v>
          </cell>
          <cell r="B1230" t="str">
            <v>905</v>
          </cell>
          <cell r="C1230" t="str">
            <v>08</v>
          </cell>
          <cell r="D1230" t="str">
            <v>04</v>
          </cell>
          <cell r="E1230" t="str">
            <v>002 04 00</v>
          </cell>
          <cell r="F1230" t="str">
            <v>500</v>
          </cell>
        </row>
        <row r="1231">
          <cell r="A1231" t="str">
            <v>Транспортные услуги</v>
          </cell>
          <cell r="B1231" t="str">
            <v>905</v>
          </cell>
          <cell r="C1231" t="str">
            <v>08</v>
          </cell>
          <cell r="D1231" t="str">
            <v>04</v>
          </cell>
          <cell r="E1231" t="str">
            <v>002 04 00</v>
          </cell>
          <cell r="F1231" t="str">
            <v>500</v>
          </cell>
        </row>
        <row r="1232">
          <cell r="A1232" t="str">
            <v>Коммунальные услуги</v>
          </cell>
          <cell r="B1232" t="str">
            <v>905</v>
          </cell>
          <cell r="C1232" t="str">
            <v>08</v>
          </cell>
          <cell r="D1232" t="str">
            <v>04</v>
          </cell>
          <cell r="E1232" t="str">
            <v>002 04 00</v>
          </cell>
          <cell r="F1232" t="str">
            <v>500</v>
          </cell>
        </row>
        <row r="1233">
          <cell r="A1233" t="str">
            <v>Арендная плата за пользование иммуществом </v>
          </cell>
          <cell r="B1233" t="str">
            <v>905</v>
          </cell>
          <cell r="C1233" t="str">
            <v>08</v>
          </cell>
          <cell r="D1233" t="str">
            <v>04</v>
          </cell>
          <cell r="E1233" t="str">
            <v>002 04 00</v>
          </cell>
          <cell r="F1233" t="str">
            <v>500</v>
          </cell>
        </row>
        <row r="1234">
          <cell r="A1234" t="str">
            <v>Услуги по содержанию иммущества</v>
          </cell>
          <cell r="B1234" t="str">
            <v>905</v>
          </cell>
          <cell r="C1234" t="str">
            <v>08</v>
          </cell>
          <cell r="D1234" t="str">
            <v>04</v>
          </cell>
          <cell r="E1234" t="str">
            <v>002 04 00</v>
          </cell>
          <cell r="F1234" t="str">
            <v>500</v>
          </cell>
        </row>
        <row r="1235">
          <cell r="A1235" t="str">
            <v>Прочие услуги</v>
          </cell>
          <cell r="B1235" t="str">
            <v>905</v>
          </cell>
          <cell r="C1235" t="str">
            <v>08</v>
          </cell>
          <cell r="D1235" t="str">
            <v>04</v>
          </cell>
          <cell r="E1235" t="str">
            <v>002 04 00</v>
          </cell>
          <cell r="F1235" t="str">
            <v>500</v>
          </cell>
        </row>
        <row r="1236">
          <cell r="A1236" t="str">
            <v>Прочие расходы </v>
          </cell>
          <cell r="B1236" t="str">
            <v>905</v>
          </cell>
          <cell r="C1236" t="str">
            <v>08</v>
          </cell>
          <cell r="D1236" t="str">
            <v>04</v>
          </cell>
          <cell r="E1236" t="str">
            <v>002 04 00</v>
          </cell>
          <cell r="F1236" t="str">
            <v>500</v>
          </cell>
        </row>
        <row r="1237">
          <cell r="A1237" t="str">
            <v>Прочие расходы</v>
          </cell>
          <cell r="B1237" t="str">
            <v>905</v>
          </cell>
          <cell r="C1237" t="str">
            <v>08</v>
          </cell>
          <cell r="D1237" t="str">
            <v>04</v>
          </cell>
          <cell r="E1237" t="str">
            <v>002 04 00</v>
          </cell>
          <cell r="F1237" t="str">
            <v>500</v>
          </cell>
        </row>
        <row r="1238">
          <cell r="A1238" t="str">
            <v>Поступление нефинансовых активов</v>
          </cell>
          <cell r="B1238" t="str">
            <v>905</v>
          </cell>
          <cell r="C1238" t="str">
            <v>08</v>
          </cell>
          <cell r="D1238" t="str">
            <v>04</v>
          </cell>
          <cell r="E1238" t="str">
            <v>002 04 00</v>
          </cell>
          <cell r="F1238" t="str">
            <v>500</v>
          </cell>
        </row>
        <row r="1239">
          <cell r="A1239" t="str">
            <v>Увеличение стоимости основных средств</v>
          </cell>
          <cell r="B1239" t="str">
            <v>905</v>
          </cell>
          <cell r="C1239" t="str">
            <v>08</v>
          </cell>
          <cell r="D1239" t="str">
            <v>04</v>
          </cell>
          <cell r="E1239" t="str">
            <v>002 04 00</v>
          </cell>
          <cell r="F1239" t="str">
            <v>500</v>
          </cell>
        </row>
        <row r="1240">
          <cell r="A1240" t="str">
            <v>Увеличение стоимости материальных запасов</v>
          </cell>
          <cell r="B1240" t="str">
            <v>905</v>
          </cell>
          <cell r="C1240" t="str">
            <v>08</v>
          </cell>
          <cell r="D1240" t="str">
            <v>04</v>
          </cell>
          <cell r="E1240" t="str">
            <v>002 04 00</v>
          </cell>
          <cell r="F1240" t="str">
            <v>500</v>
          </cell>
        </row>
        <row r="1241">
          <cell r="A1241" t="str">
            <v>Мероприятия в сфере культуры, кинематографиии средств массовой информации </v>
          </cell>
          <cell r="B1241" t="str">
            <v>902</v>
          </cell>
          <cell r="C1241" t="str">
            <v>08</v>
          </cell>
          <cell r="D1241" t="str">
            <v>04</v>
          </cell>
          <cell r="E1241" t="str">
            <v>450 85 00</v>
          </cell>
          <cell r="F1241" t="str">
            <v>000</v>
          </cell>
        </row>
        <row r="1242">
          <cell r="A1242" t="str">
            <v>Государственная поддержка в сфере культуры, кинематографии и средств массовой информации </v>
          </cell>
          <cell r="B1242" t="str">
            <v>902</v>
          </cell>
          <cell r="C1242" t="str">
            <v>08</v>
          </cell>
          <cell r="D1242" t="str">
            <v>04</v>
          </cell>
          <cell r="E1242" t="str">
            <v>450 85 00</v>
          </cell>
          <cell r="F1242" t="str">
            <v>012</v>
          </cell>
        </row>
        <row r="1243">
          <cell r="A1243" t="str">
            <v>Прочие расходы </v>
          </cell>
          <cell r="B1243" t="str">
            <v>902</v>
          </cell>
          <cell r="C1243" t="str">
            <v>08</v>
          </cell>
          <cell r="D1243" t="str">
            <v>04</v>
          </cell>
          <cell r="E1243" t="str">
            <v>450 85 00</v>
          </cell>
          <cell r="F1243" t="str">
            <v>012</v>
          </cell>
        </row>
        <row r="1244">
          <cell r="A1244" t="str">
            <v>Увеличение стоиммости материальных запасов</v>
          </cell>
          <cell r="B1244" t="str">
            <v>905</v>
          </cell>
          <cell r="C1244" t="str">
            <v>08</v>
          </cell>
          <cell r="D1244" t="str">
            <v>04</v>
          </cell>
          <cell r="E1244" t="str">
            <v>002 04 00</v>
          </cell>
          <cell r="F1244" t="str">
            <v>500</v>
          </cell>
        </row>
        <row r="1245">
          <cell r="A1245" t="str">
            <v>Межбюджетные трансферты на погашение кредиторской задолженности муниципальных учреждений по страховым взносам в Пенсионный фонд Российской Федерации на обязательное пенсионное страхование, сложившейся за период с 1 января 2001 года до 1 января 2010 года</v>
          </cell>
          <cell r="B1245" t="str">
            <v>905</v>
          </cell>
          <cell r="C1245" t="str">
            <v>08</v>
          </cell>
          <cell r="D1245" t="str">
            <v>04</v>
          </cell>
          <cell r="E1245" t="str">
            <v>603 00 00</v>
          </cell>
          <cell r="F1245" t="str">
            <v>001</v>
          </cell>
        </row>
        <row r="1246">
          <cell r="B1246" t="str">
            <v>905</v>
          </cell>
          <cell r="C1246" t="str">
            <v>08</v>
          </cell>
          <cell r="D1246" t="str">
            <v>04</v>
          </cell>
          <cell r="E1246" t="str">
            <v>603 00 00</v>
          </cell>
          <cell r="F1246" t="str">
            <v>001</v>
          </cell>
        </row>
        <row r="1247">
          <cell r="B1247" t="str">
            <v>905</v>
          </cell>
          <cell r="C1247" t="str">
            <v>08</v>
          </cell>
          <cell r="D1247" t="str">
            <v>04</v>
          </cell>
          <cell r="E1247" t="str">
            <v>603 00 00</v>
          </cell>
          <cell r="F1247" t="str">
            <v>001</v>
          </cell>
        </row>
        <row r="1248">
          <cell r="A1248" t="str">
            <v>Выполнение функций органами местного самоуправления</v>
          </cell>
          <cell r="B1248" t="str">
            <v>905</v>
          </cell>
          <cell r="C1248" t="str">
            <v>08</v>
          </cell>
          <cell r="D1248" t="str">
            <v>04</v>
          </cell>
          <cell r="E1248" t="str">
            <v>603 00 00</v>
          </cell>
          <cell r="F1248" t="str">
            <v>001</v>
          </cell>
        </row>
        <row r="1249">
          <cell r="A1249" t="str">
            <v>Расходы</v>
          </cell>
          <cell r="B1249" t="str">
            <v>905</v>
          </cell>
          <cell r="C1249" t="str">
            <v>08</v>
          </cell>
          <cell r="D1249" t="str">
            <v>04</v>
          </cell>
          <cell r="E1249" t="str">
            <v>603 00 00</v>
          </cell>
          <cell r="F1249" t="str">
            <v>001</v>
          </cell>
        </row>
        <row r="1250">
          <cell r="A1250" t="str">
            <v>Оплата труда и начисления на оплату труда</v>
          </cell>
          <cell r="B1250" t="str">
            <v>905</v>
          </cell>
          <cell r="C1250" t="str">
            <v>08</v>
          </cell>
          <cell r="D1250" t="str">
            <v>04</v>
          </cell>
          <cell r="E1250" t="str">
            <v>603 00 00</v>
          </cell>
          <cell r="F1250" t="str">
            <v>001</v>
          </cell>
        </row>
        <row r="1251">
          <cell r="A1251" t="str">
            <v>Начисление на оплату труда</v>
          </cell>
          <cell r="B1251" t="str">
            <v>905</v>
          </cell>
          <cell r="C1251" t="str">
            <v>08</v>
          </cell>
          <cell r="D1251" t="str">
            <v>04</v>
          </cell>
          <cell r="E1251" t="str">
            <v>603 00 00</v>
          </cell>
          <cell r="F1251" t="str">
            <v>001</v>
          </cell>
        </row>
        <row r="1252">
          <cell r="A1252" t="str">
    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    </cell>
          <cell r="B1252" t="str">
            <v>905</v>
          </cell>
          <cell r="C1252" t="str">
            <v>08</v>
          </cell>
          <cell r="D1252" t="str">
            <v>04</v>
          </cell>
          <cell r="E1252" t="str">
            <v>452 00 00</v>
          </cell>
          <cell r="F1252" t="str">
            <v>000</v>
          </cell>
        </row>
        <row r="1253">
          <cell r="A1253" t="str">
            <v>Обеспечение деятельности подведомственных учреждений</v>
          </cell>
          <cell r="B1253" t="str">
            <v>905</v>
          </cell>
          <cell r="C1253" t="str">
            <v>08</v>
          </cell>
          <cell r="D1253" t="str">
            <v>04</v>
          </cell>
          <cell r="E1253" t="str">
            <v>452 99 00</v>
          </cell>
          <cell r="F1253" t="str">
            <v>000</v>
          </cell>
        </row>
        <row r="1254">
          <cell r="A1254" t="str">
            <v>Выполнение функций бюджетными учреждениями</v>
          </cell>
          <cell r="B1254" t="str">
            <v>905</v>
          </cell>
          <cell r="C1254" t="str">
            <v>08</v>
          </cell>
          <cell r="D1254" t="str">
            <v>04</v>
          </cell>
          <cell r="E1254" t="str">
            <v>452 99 00</v>
          </cell>
          <cell r="F1254" t="str">
            <v>001</v>
          </cell>
        </row>
        <row r="1255">
          <cell r="A1255" t="str">
            <v>Расходы</v>
          </cell>
          <cell r="B1255" t="str">
            <v>905</v>
          </cell>
          <cell r="C1255" t="str">
            <v>08</v>
          </cell>
          <cell r="D1255" t="str">
            <v>04</v>
          </cell>
          <cell r="E1255" t="str">
            <v>452 99 00</v>
          </cell>
          <cell r="F1255" t="str">
            <v>001</v>
          </cell>
        </row>
        <row r="1256">
          <cell r="A1256" t="str">
            <v>Оплата труда и начисления на оплату труда</v>
          </cell>
          <cell r="B1256" t="str">
            <v>905</v>
          </cell>
          <cell r="C1256" t="str">
            <v>08</v>
          </cell>
          <cell r="D1256" t="str">
            <v>04</v>
          </cell>
          <cell r="E1256" t="str">
            <v>452 99 00</v>
          </cell>
          <cell r="F1256" t="str">
            <v>001</v>
          </cell>
        </row>
        <row r="1257">
          <cell r="A1257" t="str">
            <v>Заработная плата</v>
          </cell>
          <cell r="B1257" t="str">
            <v>905</v>
          </cell>
          <cell r="C1257" t="str">
            <v>08</v>
          </cell>
          <cell r="D1257" t="str">
            <v>04</v>
          </cell>
          <cell r="E1257" t="str">
            <v>452 99 00</v>
          </cell>
          <cell r="F1257" t="str">
            <v>001</v>
          </cell>
        </row>
        <row r="1258">
          <cell r="A1258" t="str">
            <v>Прочие выплаты</v>
          </cell>
          <cell r="B1258" t="str">
            <v>905</v>
          </cell>
          <cell r="C1258" t="str">
            <v>08</v>
          </cell>
          <cell r="D1258" t="str">
            <v>04</v>
          </cell>
          <cell r="E1258" t="str">
            <v>452 99 00</v>
          </cell>
          <cell r="F1258" t="str">
            <v>001</v>
          </cell>
        </row>
        <row r="1259">
          <cell r="A1259" t="str">
            <v>Начисление на оплату труда</v>
          </cell>
          <cell r="B1259" t="str">
            <v>905</v>
          </cell>
          <cell r="C1259" t="str">
            <v>08</v>
          </cell>
          <cell r="D1259" t="str">
            <v>04</v>
          </cell>
          <cell r="E1259" t="str">
            <v>452 99 00</v>
          </cell>
          <cell r="F1259" t="str">
            <v>001</v>
          </cell>
        </row>
        <row r="1260">
          <cell r="A1260" t="str">
            <v>Приобретение услуг</v>
          </cell>
          <cell r="B1260" t="str">
            <v>905</v>
          </cell>
          <cell r="C1260" t="str">
            <v>08</v>
          </cell>
          <cell r="D1260" t="str">
            <v>04</v>
          </cell>
          <cell r="E1260" t="str">
            <v>452 99 00</v>
          </cell>
          <cell r="F1260" t="str">
            <v>001</v>
          </cell>
        </row>
        <row r="1261">
          <cell r="A1261" t="str">
            <v>Услуги связи </v>
          </cell>
          <cell r="B1261" t="str">
            <v>905</v>
          </cell>
          <cell r="C1261" t="str">
            <v>08</v>
          </cell>
          <cell r="D1261" t="str">
            <v>04</v>
          </cell>
          <cell r="E1261" t="str">
            <v>452 99 00</v>
          </cell>
          <cell r="F1261" t="str">
            <v>001</v>
          </cell>
        </row>
        <row r="1262">
          <cell r="A1262" t="str">
            <v>Транспортные услуги</v>
          </cell>
          <cell r="B1262" t="str">
            <v>905</v>
          </cell>
          <cell r="C1262" t="str">
            <v>08</v>
          </cell>
          <cell r="D1262" t="str">
            <v>04</v>
          </cell>
          <cell r="E1262" t="str">
            <v>452 99 00</v>
          </cell>
          <cell r="F1262" t="str">
            <v>001</v>
          </cell>
        </row>
        <row r="1263">
          <cell r="A1263" t="str">
            <v>Коммунальные услуги</v>
          </cell>
          <cell r="B1263" t="str">
            <v>905</v>
          </cell>
          <cell r="C1263" t="str">
            <v>08</v>
          </cell>
          <cell r="D1263" t="str">
            <v>04</v>
          </cell>
          <cell r="E1263" t="str">
            <v>452 99 00</v>
          </cell>
          <cell r="F1263" t="str">
            <v>001</v>
          </cell>
        </row>
        <row r="1264">
          <cell r="A1264" t="str">
            <v>Арендная плата за пользование иммуществом </v>
          </cell>
          <cell r="B1264" t="str">
            <v>905</v>
          </cell>
          <cell r="C1264" t="str">
            <v>08</v>
          </cell>
          <cell r="D1264" t="str">
            <v>04</v>
          </cell>
          <cell r="E1264" t="str">
            <v>452 99 00</v>
          </cell>
          <cell r="F1264" t="str">
            <v>001</v>
          </cell>
        </row>
        <row r="1265">
          <cell r="A1265" t="str">
            <v>Услуги по содержанию иммущества</v>
          </cell>
          <cell r="B1265" t="str">
            <v>905</v>
          </cell>
          <cell r="C1265" t="str">
            <v>08</v>
          </cell>
          <cell r="D1265" t="str">
            <v>04</v>
          </cell>
          <cell r="E1265" t="str">
            <v>452 99 00</v>
          </cell>
          <cell r="F1265" t="str">
            <v>001</v>
          </cell>
        </row>
        <row r="1266">
          <cell r="A1266" t="str">
            <v>Прочие услуги</v>
          </cell>
          <cell r="B1266" t="str">
            <v>905</v>
          </cell>
          <cell r="C1266" t="str">
            <v>08</v>
          </cell>
          <cell r="D1266" t="str">
            <v>04</v>
          </cell>
          <cell r="E1266" t="str">
            <v>452 99 00</v>
          </cell>
          <cell r="F1266" t="str">
            <v>001</v>
          </cell>
        </row>
        <row r="1267">
          <cell r="A1267" t="str">
            <v>Прочие расходы </v>
          </cell>
          <cell r="B1267" t="str">
            <v>905</v>
          </cell>
          <cell r="C1267" t="str">
            <v>08</v>
          </cell>
          <cell r="D1267" t="str">
            <v>04</v>
          </cell>
          <cell r="E1267" t="str">
            <v>452 99 00</v>
          </cell>
          <cell r="F1267" t="str">
            <v>001</v>
          </cell>
        </row>
        <row r="1268">
          <cell r="A1268" t="str">
            <v>Поступление нефинансовых активов</v>
          </cell>
          <cell r="B1268" t="str">
            <v>905</v>
          </cell>
          <cell r="C1268" t="str">
            <v>08</v>
          </cell>
          <cell r="D1268" t="str">
            <v>04</v>
          </cell>
          <cell r="E1268" t="str">
            <v>452 99 00</v>
          </cell>
          <cell r="F1268" t="str">
            <v>001</v>
          </cell>
        </row>
        <row r="1269">
          <cell r="A1269" t="str">
            <v>Увеличение стоимости основных средств</v>
          </cell>
          <cell r="B1269" t="str">
            <v>905</v>
          </cell>
          <cell r="C1269" t="str">
            <v>08</v>
          </cell>
          <cell r="D1269" t="str">
            <v>04</v>
          </cell>
          <cell r="E1269" t="str">
            <v>452 99 00</v>
          </cell>
          <cell r="F1269" t="str">
            <v>001</v>
          </cell>
        </row>
        <row r="1270">
          <cell r="A1270" t="str">
            <v>Увеличение стоимости материальных запасов</v>
          </cell>
          <cell r="B1270" t="str">
            <v>905</v>
          </cell>
          <cell r="C1270" t="str">
            <v>08</v>
          </cell>
          <cell r="D1270" t="str">
            <v>04</v>
          </cell>
          <cell r="E1270" t="str">
            <v>452 99 00</v>
          </cell>
          <cell r="F1270" t="str">
            <v>001</v>
          </cell>
        </row>
        <row r="1271">
          <cell r="A1271" t="str">
            <v>Целевые программы муниципальных образований </v>
          </cell>
          <cell r="B1271" t="str">
            <v>901</v>
          </cell>
          <cell r="C1271" t="str">
            <v>08</v>
          </cell>
          <cell r="D1271" t="str">
            <v>06</v>
          </cell>
          <cell r="E1271" t="str">
            <v>795 00 00</v>
          </cell>
          <cell r="F1271" t="str">
            <v>000</v>
          </cell>
        </row>
        <row r="1272">
          <cell r="A1272" t="str">
            <v>Государственная поддержка в сфере культуры, кинематографии и средств массовой информации </v>
          </cell>
          <cell r="B1272" t="str">
            <v>901</v>
          </cell>
          <cell r="C1272" t="str">
            <v>08</v>
          </cell>
          <cell r="D1272" t="str">
            <v>06</v>
          </cell>
          <cell r="E1272" t="str">
            <v>795 00 00</v>
          </cell>
          <cell r="F1272" t="str">
            <v>453</v>
          </cell>
        </row>
        <row r="1273">
          <cell r="A1273" t="str">
            <v>Прочие расходы </v>
          </cell>
          <cell r="B1273" t="str">
            <v>901</v>
          </cell>
          <cell r="C1273" t="str">
            <v>08</v>
          </cell>
          <cell r="D1273" t="str">
            <v>06</v>
          </cell>
          <cell r="E1273" t="str">
            <v>795 00 00</v>
          </cell>
          <cell r="F1273" t="str">
            <v>453</v>
          </cell>
        </row>
        <row r="1274">
          <cell r="A1274" t="str">
            <v>Поступление нефинансовых активов</v>
          </cell>
          <cell r="B1274" t="str">
            <v>901</v>
          </cell>
          <cell r="C1274" t="str">
            <v>08</v>
          </cell>
          <cell r="D1274" t="str">
            <v>06</v>
          </cell>
          <cell r="E1274" t="str">
            <v>795 00 00</v>
          </cell>
          <cell r="F1274" t="str">
            <v>453</v>
          </cell>
        </row>
        <row r="1275">
          <cell r="A1275" t="str">
            <v>Увеличение стоимости основных средств</v>
          </cell>
          <cell r="B1275" t="str">
            <v>901</v>
          </cell>
          <cell r="C1275" t="str">
            <v>08</v>
          </cell>
          <cell r="D1275" t="str">
            <v>06</v>
          </cell>
          <cell r="E1275" t="str">
            <v>795 00 00</v>
          </cell>
          <cell r="F1275" t="str">
            <v>453</v>
          </cell>
        </row>
        <row r="1276">
          <cell r="A1276" t="str">
            <v>Культура, кинематография </v>
          </cell>
          <cell r="C1276" t="str">
            <v>08</v>
          </cell>
          <cell r="D1276" t="str">
            <v>00</v>
          </cell>
          <cell r="E1276" t="str">
            <v>000 00 00</v>
          </cell>
          <cell r="F1276" t="str">
            <v>000</v>
          </cell>
        </row>
        <row r="1277">
          <cell r="A1277" t="str">
            <v>Расходы</v>
          </cell>
          <cell r="C1277" t="str">
            <v>08</v>
          </cell>
          <cell r="D1277" t="str">
            <v>00</v>
          </cell>
          <cell r="E1277" t="str">
            <v>000 00 00</v>
          </cell>
          <cell r="F1277" t="str">
            <v>000</v>
          </cell>
        </row>
        <row r="1278">
          <cell r="A1278" t="str">
            <v>Оплата труда и начисления на оплату труда</v>
          </cell>
          <cell r="C1278" t="str">
            <v>08</v>
          </cell>
          <cell r="D1278" t="str">
            <v>00</v>
          </cell>
          <cell r="E1278" t="str">
            <v>000 00 00</v>
          </cell>
          <cell r="F1278" t="str">
            <v>000</v>
          </cell>
        </row>
        <row r="1279">
          <cell r="A1279" t="str">
            <v>Заработная плата</v>
          </cell>
          <cell r="C1279" t="str">
            <v>08</v>
          </cell>
          <cell r="D1279" t="str">
            <v>00</v>
          </cell>
          <cell r="E1279" t="str">
            <v>000 00 00</v>
          </cell>
          <cell r="F1279" t="str">
            <v>000</v>
          </cell>
        </row>
        <row r="1280">
          <cell r="A1280" t="str">
            <v>Прочие выплаты</v>
          </cell>
          <cell r="C1280" t="str">
            <v>08</v>
          </cell>
          <cell r="D1280" t="str">
            <v>00</v>
          </cell>
          <cell r="E1280" t="str">
            <v>000 00 00</v>
          </cell>
          <cell r="F1280" t="str">
            <v>000</v>
          </cell>
        </row>
        <row r="1281">
          <cell r="A1281" t="str">
            <v>Начисление на оплату труда</v>
          </cell>
          <cell r="C1281" t="str">
            <v>08</v>
          </cell>
          <cell r="D1281" t="str">
            <v>00</v>
          </cell>
          <cell r="E1281" t="str">
            <v>000 00 00</v>
          </cell>
          <cell r="F1281" t="str">
            <v>000</v>
          </cell>
        </row>
        <row r="1282">
          <cell r="A1282" t="str">
            <v>Приобретение услуг</v>
          </cell>
          <cell r="C1282" t="str">
            <v>08</v>
          </cell>
          <cell r="D1282" t="str">
            <v>00</v>
          </cell>
          <cell r="E1282" t="str">
            <v>000 00 00</v>
          </cell>
          <cell r="F1282" t="str">
            <v>000</v>
          </cell>
        </row>
        <row r="1283">
          <cell r="A1283" t="str">
            <v>Услуги связи </v>
          </cell>
          <cell r="C1283" t="str">
            <v>08</v>
          </cell>
          <cell r="D1283" t="str">
            <v>00</v>
          </cell>
          <cell r="E1283" t="str">
            <v>000 00 00</v>
          </cell>
          <cell r="F1283" t="str">
            <v>000</v>
          </cell>
        </row>
        <row r="1284">
          <cell r="A1284" t="str">
            <v>Транспортные услуги</v>
          </cell>
          <cell r="C1284" t="str">
            <v>08</v>
          </cell>
          <cell r="D1284" t="str">
            <v>00</v>
          </cell>
          <cell r="E1284" t="str">
            <v>000 00 00</v>
          </cell>
          <cell r="F1284" t="str">
            <v>000</v>
          </cell>
        </row>
        <row r="1285">
          <cell r="A1285" t="str">
            <v>Коммунальные услуги</v>
          </cell>
          <cell r="C1285" t="str">
            <v>08</v>
          </cell>
          <cell r="D1285" t="str">
            <v>00</v>
          </cell>
          <cell r="E1285" t="str">
            <v>000 00 00</v>
          </cell>
          <cell r="F1285" t="str">
            <v>000</v>
          </cell>
        </row>
        <row r="1286">
          <cell r="A1286" t="str">
            <v>Арендная плата за пользование иммуществом </v>
          </cell>
          <cell r="C1286" t="str">
            <v>08</v>
          </cell>
          <cell r="D1286" t="str">
            <v>00</v>
          </cell>
          <cell r="E1286" t="str">
            <v>000 00 00</v>
          </cell>
          <cell r="F1286" t="str">
            <v>000</v>
          </cell>
        </row>
        <row r="1287">
          <cell r="A1287" t="str">
            <v>Услуги по содержанию иммущества</v>
          </cell>
          <cell r="C1287" t="str">
            <v>08</v>
          </cell>
          <cell r="D1287" t="str">
            <v>00</v>
          </cell>
          <cell r="E1287" t="str">
            <v>000 00 00</v>
          </cell>
          <cell r="F1287" t="str">
            <v>000</v>
          </cell>
        </row>
        <row r="1288">
          <cell r="A1288" t="str">
            <v>Прочие услуги</v>
          </cell>
          <cell r="C1288" t="str">
            <v>08</v>
          </cell>
          <cell r="D1288" t="str">
            <v>00</v>
          </cell>
          <cell r="E1288" t="str">
            <v>000 00 00</v>
          </cell>
          <cell r="F1288" t="str">
            <v>000</v>
          </cell>
        </row>
        <row r="1289">
          <cell r="A1289" t="str">
            <v>Прочие расходы</v>
          </cell>
          <cell r="C1289" t="str">
            <v>08</v>
          </cell>
          <cell r="D1289" t="str">
            <v>00</v>
          </cell>
          <cell r="E1289" t="str">
            <v>000 00 00</v>
          </cell>
          <cell r="F1289" t="str">
            <v>000</v>
          </cell>
        </row>
        <row r="1290">
          <cell r="A1290" t="str">
            <v>Поступление нефинансовых активов</v>
          </cell>
          <cell r="C1290" t="str">
            <v>08</v>
          </cell>
          <cell r="D1290" t="str">
            <v>00</v>
          </cell>
          <cell r="E1290" t="str">
            <v>000 00 00</v>
          </cell>
          <cell r="F1290" t="str">
            <v>000</v>
          </cell>
        </row>
        <row r="1291">
          <cell r="A1291" t="str">
            <v>Увеличение стоимости основных средств</v>
          </cell>
          <cell r="C1291" t="str">
            <v>08</v>
          </cell>
          <cell r="D1291" t="str">
            <v>00</v>
          </cell>
          <cell r="E1291" t="str">
            <v>000 00 00</v>
          </cell>
          <cell r="F1291" t="str">
            <v>000</v>
          </cell>
        </row>
        <row r="1292">
          <cell r="A1292" t="str">
            <v>Увеличение стоимости материальных запасов</v>
          </cell>
          <cell r="C1292" t="str">
            <v>08</v>
          </cell>
          <cell r="D1292" t="str">
            <v>00</v>
          </cell>
          <cell r="E1292" t="str">
            <v>000 00 00</v>
          </cell>
          <cell r="F1292" t="str">
            <v>000</v>
          </cell>
        </row>
        <row r="1293">
          <cell r="A1293" t="str">
            <v>ИТОГО:</v>
          </cell>
          <cell r="C1293" t="str">
            <v>08</v>
          </cell>
          <cell r="D1293" t="str">
            <v>00</v>
          </cell>
          <cell r="E1293" t="str">
            <v>000 00 00</v>
          </cell>
          <cell r="F1293" t="str">
            <v>000</v>
          </cell>
        </row>
        <row r="1294">
          <cell r="A1294" t="str">
            <v>Целевые программы муниципальных образований </v>
          </cell>
          <cell r="B1294" t="str">
            <v>905</v>
          </cell>
          <cell r="C1294" t="str">
            <v>08</v>
          </cell>
          <cell r="D1294" t="str">
            <v>04</v>
          </cell>
          <cell r="E1294" t="str">
            <v>795 00 00</v>
          </cell>
          <cell r="F1294" t="str">
            <v>000</v>
          </cell>
        </row>
        <row r="1295">
          <cell r="A1295" t="str">
            <v>Выполнение функций органами местного самоуправления</v>
          </cell>
          <cell r="B1295" t="str">
            <v>905</v>
          </cell>
          <cell r="C1295" t="str">
            <v>08</v>
          </cell>
          <cell r="D1295" t="str">
            <v>04</v>
          </cell>
          <cell r="E1295" t="str">
            <v>795 00 00</v>
          </cell>
          <cell r="F1295" t="str">
            <v>500</v>
          </cell>
        </row>
        <row r="1296">
          <cell r="A1296" t="str">
            <v>Обеспечение техники безопасности в ужреждениях культуры Усольского района на 2012-2014 гг</v>
          </cell>
          <cell r="B1296" t="str">
            <v>905</v>
          </cell>
          <cell r="C1296" t="str">
            <v>08</v>
          </cell>
          <cell r="D1296" t="str">
            <v>04</v>
          </cell>
          <cell r="E1296" t="str">
            <v>795 35 00</v>
          </cell>
          <cell r="F1296" t="str">
            <v>500</v>
          </cell>
        </row>
        <row r="1297">
          <cell r="A1297" t="str">
            <v>Здравоохранение</v>
          </cell>
          <cell r="B1297" t="str">
            <v>904</v>
          </cell>
          <cell r="C1297" t="str">
            <v>09</v>
          </cell>
          <cell r="D1297" t="str">
            <v>00</v>
          </cell>
          <cell r="E1297" t="str">
            <v>000 00 00</v>
          </cell>
          <cell r="F1297" t="str">
            <v>000</v>
          </cell>
        </row>
        <row r="1298">
          <cell r="A1298" t="str">
            <v>Стационарная медицинская помощь</v>
          </cell>
          <cell r="B1298" t="str">
            <v>904</v>
          </cell>
          <cell r="C1298" t="str">
            <v>09</v>
          </cell>
          <cell r="D1298" t="str">
            <v>01</v>
          </cell>
          <cell r="E1298" t="str">
            <v>000 00 00</v>
          </cell>
          <cell r="F1298" t="str">
            <v>000</v>
          </cell>
        </row>
        <row r="1299">
          <cell r="A1299" t="str">
            <v>Больницы, клиники, госпитали, медико-санитарные части</v>
          </cell>
          <cell r="B1299" t="str">
            <v>904</v>
          </cell>
          <cell r="C1299" t="str">
            <v>09</v>
          </cell>
          <cell r="D1299" t="str">
            <v>01</v>
          </cell>
          <cell r="E1299" t="str">
            <v>002 00 00</v>
          </cell>
          <cell r="F1299" t="str">
            <v>000</v>
          </cell>
        </row>
        <row r="1300">
          <cell r="A1300" t="str">
            <v>Осуществление отдельных областных государственных полномочий в области охраны здоровья граждан</v>
          </cell>
          <cell r="B1300" t="str">
            <v>904</v>
          </cell>
          <cell r="C1300" t="str">
            <v>09</v>
          </cell>
          <cell r="D1300" t="str">
            <v>01</v>
          </cell>
          <cell r="E1300" t="str">
            <v>002 52 00</v>
          </cell>
          <cell r="F1300" t="str">
            <v>000</v>
          </cell>
        </row>
        <row r="1301">
          <cell r="A1301" t="str">
            <v>Выполнение функций бюджетными учреждениями</v>
          </cell>
          <cell r="B1301" t="str">
            <v>904</v>
          </cell>
          <cell r="C1301" t="str">
            <v>09</v>
          </cell>
          <cell r="D1301" t="str">
            <v>01</v>
          </cell>
          <cell r="E1301" t="str">
            <v>002 52 00</v>
          </cell>
          <cell r="F1301" t="str">
            <v>001</v>
          </cell>
        </row>
        <row r="1302">
          <cell r="A1302" t="str">
            <v>Субсидии некоммерческим организациям</v>
          </cell>
          <cell r="B1302" t="str">
            <v>904 </v>
          </cell>
          <cell r="C1302" t="str">
            <v>09</v>
          </cell>
          <cell r="D1302" t="str">
            <v>01</v>
          </cell>
          <cell r="E1302" t="str">
            <v>002 52 00</v>
          </cell>
          <cell r="F1302" t="str">
            <v>019</v>
          </cell>
        </row>
        <row r="1303">
          <cell r="A1303" t="str">
            <v>Больницы, клиники, госпитали, медико-санитарные части</v>
          </cell>
          <cell r="B1303" t="str">
            <v>904</v>
          </cell>
          <cell r="C1303" t="str">
            <v>09</v>
          </cell>
          <cell r="D1303" t="str">
            <v>01</v>
          </cell>
          <cell r="E1303" t="str">
            <v>470 00 00</v>
          </cell>
          <cell r="F1303" t="str">
            <v>000</v>
          </cell>
        </row>
        <row r="1304">
          <cell r="A1304" t="str">
            <v>Обеспечение деятельности подведомственных учреждений</v>
          </cell>
          <cell r="B1304" t="str">
            <v>904</v>
          </cell>
          <cell r="C1304" t="str">
            <v>09</v>
          </cell>
          <cell r="D1304" t="str">
            <v>01</v>
          </cell>
          <cell r="E1304" t="str">
            <v>470 99 00</v>
          </cell>
          <cell r="F1304" t="str">
            <v>000</v>
          </cell>
        </row>
        <row r="1305">
          <cell r="A1305" t="str">
            <v>Выполнение функций бюджетными учреждениями</v>
          </cell>
          <cell r="B1305" t="str">
            <v>904</v>
          </cell>
          <cell r="C1305" t="str">
            <v>09</v>
          </cell>
          <cell r="D1305" t="str">
            <v>01</v>
          </cell>
          <cell r="E1305" t="str">
            <v>470 99 00</v>
          </cell>
          <cell r="F1305" t="str">
            <v>001</v>
          </cell>
        </row>
        <row r="1306">
          <cell r="A1306" t="str">
            <v>Расходы</v>
          </cell>
          <cell r="B1306" t="str">
            <v>904</v>
          </cell>
          <cell r="C1306" t="str">
            <v>09</v>
          </cell>
          <cell r="D1306" t="str">
            <v>01</v>
          </cell>
          <cell r="E1306" t="str">
            <v>470 99 00</v>
          </cell>
          <cell r="F1306" t="str">
            <v>001</v>
          </cell>
        </row>
        <row r="1307">
          <cell r="A1307" t="str">
            <v>Оплата труда и начисления на оплату труда</v>
          </cell>
          <cell r="B1307" t="str">
            <v>904</v>
          </cell>
          <cell r="C1307" t="str">
            <v>09</v>
          </cell>
          <cell r="D1307" t="str">
            <v>01</v>
          </cell>
          <cell r="E1307" t="str">
            <v>470 99 00</v>
          </cell>
          <cell r="F1307" t="str">
            <v>001</v>
          </cell>
        </row>
        <row r="1308">
          <cell r="A1308" t="str">
            <v>Заработная плата</v>
          </cell>
          <cell r="B1308" t="str">
            <v>904</v>
          </cell>
          <cell r="C1308" t="str">
            <v>09</v>
          </cell>
          <cell r="D1308" t="str">
            <v>01</v>
          </cell>
          <cell r="E1308" t="str">
            <v>470 99 00</v>
          </cell>
          <cell r="F1308" t="str">
            <v>001</v>
          </cell>
        </row>
        <row r="1309">
          <cell r="A1309" t="str">
            <v>Прочие выплаты</v>
          </cell>
          <cell r="B1309" t="str">
            <v>904</v>
          </cell>
          <cell r="C1309" t="str">
            <v>09</v>
          </cell>
          <cell r="D1309" t="str">
            <v>01</v>
          </cell>
          <cell r="E1309" t="str">
            <v>470 99 00</v>
          </cell>
          <cell r="F1309" t="str">
            <v>001</v>
          </cell>
        </row>
        <row r="1310">
          <cell r="A1310" t="str">
            <v>Начисление на оплату труда</v>
          </cell>
          <cell r="B1310" t="str">
            <v>904</v>
          </cell>
          <cell r="C1310" t="str">
            <v>09</v>
          </cell>
          <cell r="D1310" t="str">
            <v>01</v>
          </cell>
          <cell r="E1310" t="str">
            <v>470 99 00</v>
          </cell>
          <cell r="F1310" t="str">
            <v>001</v>
          </cell>
        </row>
        <row r="1311">
          <cell r="A1311" t="str">
            <v>Приобретение услуг</v>
          </cell>
          <cell r="B1311" t="str">
            <v>904</v>
          </cell>
          <cell r="C1311" t="str">
            <v>09</v>
          </cell>
          <cell r="D1311" t="str">
            <v>01</v>
          </cell>
          <cell r="E1311" t="str">
            <v>470 99 00</v>
          </cell>
          <cell r="F1311" t="str">
            <v>001</v>
          </cell>
        </row>
        <row r="1312">
          <cell r="A1312" t="str">
            <v>Услуги связи </v>
          </cell>
          <cell r="B1312" t="str">
            <v>904</v>
          </cell>
          <cell r="C1312" t="str">
            <v>09</v>
          </cell>
          <cell r="D1312" t="str">
            <v>01</v>
          </cell>
          <cell r="E1312" t="str">
            <v>470 99 00</v>
          </cell>
          <cell r="F1312" t="str">
            <v>001</v>
          </cell>
        </row>
        <row r="1313">
          <cell r="A1313" t="str">
            <v>Транспортные услуги</v>
          </cell>
          <cell r="B1313" t="str">
            <v>904</v>
          </cell>
          <cell r="C1313" t="str">
            <v>09</v>
          </cell>
          <cell r="D1313" t="str">
            <v>01</v>
          </cell>
          <cell r="E1313" t="str">
            <v>470 99 00</v>
          </cell>
          <cell r="F1313" t="str">
            <v>001</v>
          </cell>
        </row>
        <row r="1314">
          <cell r="A1314" t="str">
            <v>Коммунальные услуги</v>
          </cell>
          <cell r="B1314" t="str">
            <v>904</v>
          </cell>
          <cell r="C1314" t="str">
            <v>09</v>
          </cell>
          <cell r="D1314" t="str">
            <v>01</v>
          </cell>
          <cell r="E1314" t="str">
            <v>470 99 00</v>
          </cell>
          <cell r="F1314" t="str">
            <v>001</v>
          </cell>
        </row>
        <row r="1315">
          <cell r="A1315" t="str">
            <v>Арендная плата за пользование иммуществом </v>
          </cell>
          <cell r="B1315" t="str">
            <v>904</v>
          </cell>
          <cell r="C1315" t="str">
            <v>09</v>
          </cell>
          <cell r="D1315" t="str">
            <v>01</v>
          </cell>
          <cell r="E1315" t="str">
            <v>470 99 00</v>
          </cell>
          <cell r="F1315" t="str">
            <v>001</v>
          </cell>
        </row>
        <row r="1316">
          <cell r="A1316" t="str">
            <v>Услуги по содержанию иммущества</v>
          </cell>
          <cell r="B1316" t="str">
            <v>904</v>
          </cell>
          <cell r="C1316" t="str">
            <v>09</v>
          </cell>
          <cell r="D1316" t="str">
            <v>01</v>
          </cell>
          <cell r="E1316" t="str">
            <v>470 99 00</v>
          </cell>
          <cell r="F1316" t="str">
            <v>001</v>
          </cell>
        </row>
        <row r="1317">
          <cell r="A1317" t="str">
            <v>Услуги по содержанию иммущества 8,40,00</v>
          </cell>
          <cell r="B1317" t="str">
            <v>904</v>
          </cell>
          <cell r="C1317" t="str">
            <v>09</v>
          </cell>
          <cell r="D1317" t="str">
            <v>01</v>
          </cell>
          <cell r="E1317" t="str">
            <v>470 99 00</v>
          </cell>
          <cell r="F1317" t="str">
            <v>001</v>
          </cell>
        </row>
        <row r="1318">
          <cell r="A1318" t="str">
            <v>Услуги по содержанию иммущества 8,40,01</v>
          </cell>
          <cell r="B1318" t="str">
            <v>904</v>
          </cell>
          <cell r="C1318" t="str">
            <v>09</v>
          </cell>
          <cell r="D1318" t="str">
            <v>01</v>
          </cell>
          <cell r="E1318" t="str">
            <v>470 99 00</v>
          </cell>
          <cell r="F1318" t="str">
            <v>001</v>
          </cell>
        </row>
        <row r="1319">
          <cell r="A1319" t="str">
            <v>Услуги по содержанию иммущества 8,40,02</v>
          </cell>
          <cell r="B1319" t="str">
            <v>904</v>
          </cell>
          <cell r="C1319" t="str">
            <v>09</v>
          </cell>
          <cell r="D1319" t="str">
            <v>01</v>
          </cell>
          <cell r="E1319" t="str">
            <v>470 99 00</v>
          </cell>
          <cell r="F1319" t="str">
            <v>001</v>
          </cell>
        </row>
        <row r="1320">
          <cell r="A1320" t="str">
            <v>Прочие услуги</v>
          </cell>
          <cell r="B1320" t="str">
            <v>904</v>
          </cell>
          <cell r="C1320" t="str">
            <v>09</v>
          </cell>
          <cell r="D1320" t="str">
            <v>01</v>
          </cell>
          <cell r="E1320" t="str">
            <v>470 99 00</v>
          </cell>
          <cell r="F1320" t="str">
            <v>001</v>
          </cell>
        </row>
        <row r="1321">
          <cell r="A1321" t="str">
            <v>Прочие услуги ПСД Тайтурка   </v>
          </cell>
          <cell r="B1321" t="str">
            <v>904</v>
          </cell>
          <cell r="C1321" t="str">
            <v>09</v>
          </cell>
          <cell r="D1321" t="str">
            <v>01</v>
          </cell>
          <cell r="E1321" t="str">
            <v>470 99 00</v>
          </cell>
          <cell r="F1321" t="str">
            <v>001</v>
          </cell>
        </row>
        <row r="1322">
          <cell r="A1322" t="str">
            <v>Прочие расходы </v>
          </cell>
          <cell r="B1322" t="str">
            <v>904</v>
          </cell>
          <cell r="C1322" t="str">
            <v>09</v>
          </cell>
          <cell r="D1322" t="str">
            <v>01</v>
          </cell>
          <cell r="E1322" t="str">
            <v>470 99 00</v>
          </cell>
          <cell r="F1322" t="str">
            <v>001</v>
          </cell>
        </row>
        <row r="1323">
          <cell r="A1323" t="str">
            <v>Поступление нефинансовых активов</v>
          </cell>
          <cell r="B1323" t="str">
            <v>904</v>
          </cell>
          <cell r="C1323" t="str">
            <v>09</v>
          </cell>
          <cell r="D1323" t="str">
            <v>01</v>
          </cell>
          <cell r="E1323" t="str">
            <v>470 99 00</v>
          </cell>
          <cell r="F1323" t="str">
            <v>001</v>
          </cell>
        </row>
        <row r="1324">
          <cell r="A1324" t="str">
            <v>Увеличение стоимости основных средств</v>
          </cell>
          <cell r="B1324" t="str">
            <v>904</v>
          </cell>
          <cell r="C1324" t="str">
            <v>09</v>
          </cell>
          <cell r="D1324" t="str">
            <v>01</v>
          </cell>
          <cell r="E1324" t="str">
            <v>470 99 00</v>
          </cell>
          <cell r="F1324" t="str">
            <v>001</v>
          </cell>
        </row>
        <row r="1325">
          <cell r="A1325" t="str">
            <v>Увеличение стоимости материальных запасов</v>
          </cell>
          <cell r="B1325" t="str">
            <v>904</v>
          </cell>
          <cell r="C1325" t="str">
            <v>09</v>
          </cell>
          <cell r="D1325" t="str">
            <v>01</v>
          </cell>
          <cell r="E1325" t="str">
            <v>470 99 00</v>
          </cell>
          <cell r="F1325" t="str">
            <v>001</v>
          </cell>
        </row>
        <row r="1326">
          <cell r="A1326" t="str">
            <v>8,40,02</v>
          </cell>
          <cell r="B1326" t="str">
            <v>904</v>
          </cell>
          <cell r="C1326" t="str">
            <v>09</v>
          </cell>
          <cell r="D1326" t="str">
            <v>01</v>
          </cell>
          <cell r="E1326" t="str">
            <v>470 99 00</v>
          </cell>
          <cell r="F1326" t="str">
            <v>001</v>
          </cell>
        </row>
        <row r="1327">
          <cell r="A1327" t="str">
            <v>Закупка автотранспотрных средств и коммунальной техники </v>
          </cell>
          <cell r="B1327" t="str">
            <v>904</v>
          </cell>
          <cell r="C1327" t="str">
            <v>09</v>
          </cell>
          <cell r="D1327" t="str">
            <v>01</v>
          </cell>
          <cell r="E1327" t="str">
            <v>340 07 02</v>
          </cell>
          <cell r="F1327" t="str">
            <v>001</v>
          </cell>
        </row>
        <row r="1328">
          <cell r="A1328" t="str">
            <v>Обеспечение деятельности подведомственных учреждений</v>
          </cell>
          <cell r="B1328" t="str">
            <v>904</v>
          </cell>
          <cell r="C1328" t="str">
            <v>09</v>
          </cell>
          <cell r="D1328" t="str">
            <v>01</v>
          </cell>
          <cell r="E1328" t="str">
            <v>340 07 02</v>
          </cell>
          <cell r="F1328" t="str">
            <v>001</v>
          </cell>
        </row>
        <row r="1329">
          <cell r="A1329" t="str">
            <v>Выполнение функций бюджетными учреждениями</v>
          </cell>
          <cell r="B1329" t="str">
            <v>904</v>
          </cell>
          <cell r="C1329" t="str">
            <v>09</v>
          </cell>
          <cell r="D1329" t="str">
            <v>01</v>
          </cell>
          <cell r="E1329" t="str">
            <v>340 07 02</v>
          </cell>
          <cell r="F1329" t="str">
            <v>001</v>
          </cell>
        </row>
        <row r="1330">
          <cell r="A1330" t="str">
            <v>Поступление нефинансовых активов</v>
          </cell>
          <cell r="B1330" t="str">
            <v>904</v>
          </cell>
          <cell r="C1330" t="str">
            <v>09</v>
          </cell>
          <cell r="D1330" t="str">
            <v>01</v>
          </cell>
          <cell r="E1330" t="str">
            <v>340 07 02</v>
          </cell>
          <cell r="F1330" t="str">
            <v>001</v>
          </cell>
        </row>
        <row r="1331">
          <cell r="A1331" t="str">
            <v>Увеличение стоимости основных средств</v>
          </cell>
          <cell r="B1331" t="str">
            <v>904</v>
          </cell>
          <cell r="C1331" t="str">
            <v>09</v>
          </cell>
          <cell r="D1331" t="str">
            <v>01</v>
          </cell>
          <cell r="E1331" t="str">
            <v>340 07 02</v>
          </cell>
          <cell r="F1331" t="str">
            <v>001</v>
          </cell>
        </row>
        <row r="1332">
          <cell r="A1332" t="str">
            <v>Субсидии некоммерческим организациям</v>
          </cell>
          <cell r="B1332" t="str">
            <v>904</v>
          </cell>
          <cell r="C1332" t="str">
            <v>09</v>
          </cell>
          <cell r="D1332" t="str">
            <v>01</v>
          </cell>
          <cell r="E1332" t="str">
            <v>470 99 00</v>
          </cell>
          <cell r="F1332" t="str">
            <v>019</v>
          </cell>
        </row>
        <row r="1333">
          <cell r="A1333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333" t="str">
            <v>904</v>
          </cell>
          <cell r="C1333" t="str">
            <v>09</v>
          </cell>
          <cell r="D1333" t="str">
            <v>01</v>
          </cell>
          <cell r="E1333" t="str">
            <v>590 00 00</v>
          </cell>
          <cell r="F1333" t="str">
            <v>000</v>
          </cell>
        </row>
        <row r="1334">
          <cell r="A1334" t="str">
            <v>Выполнение функций бюджетными учреждениями</v>
          </cell>
          <cell r="B1334" t="str">
            <v>904</v>
          </cell>
          <cell r="C1334" t="str">
            <v>09</v>
          </cell>
          <cell r="D1334" t="str">
            <v>01</v>
          </cell>
          <cell r="E1334" t="str">
            <v>590 00 00</v>
          </cell>
          <cell r="F1334" t="str">
            <v>001</v>
          </cell>
        </row>
        <row r="1335">
          <cell r="A1335" t="str">
            <v>Погашение просроченной кредиторской задолженности по состоянию на 1 апреля 2012 года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</v>
          </cell>
          <cell r="B1335" t="str">
            <v>904</v>
          </cell>
          <cell r="C1335" t="str">
            <v>09</v>
          </cell>
          <cell r="D1335" t="str">
            <v>01</v>
          </cell>
          <cell r="E1335" t="str">
            <v>594 00 00</v>
          </cell>
          <cell r="F1335" t="str">
            <v>000</v>
          </cell>
        </row>
        <row r="1336">
          <cell r="A1336" t="str">
            <v>Субсидии некоммерческим организациям</v>
          </cell>
          <cell r="B1336" t="str">
            <v>904</v>
          </cell>
          <cell r="C1336" t="str">
            <v>09</v>
          </cell>
          <cell r="D1336" t="str">
            <v>01</v>
          </cell>
          <cell r="E1336" t="str">
            <v>594 00 00</v>
          </cell>
          <cell r="F1336" t="str">
            <v>019</v>
          </cell>
        </row>
        <row r="1337">
          <cell r="A1337" t="str">
            <v>Амбулаторная помощь</v>
          </cell>
          <cell r="B1337" t="str">
            <v>904</v>
          </cell>
          <cell r="C1337" t="str">
            <v>09</v>
          </cell>
          <cell r="D1337" t="str">
            <v>02</v>
          </cell>
          <cell r="E1337" t="str">
            <v>000 00 00</v>
          </cell>
          <cell r="F1337" t="str">
            <v>000</v>
          </cell>
        </row>
        <row r="1338">
          <cell r="A1338" t="str">
            <v>Больницы, клиники, госпитали, медико-санитарные части</v>
          </cell>
          <cell r="B1338" t="str">
            <v>904</v>
          </cell>
          <cell r="C1338" t="str">
            <v>09</v>
          </cell>
          <cell r="D1338" t="str">
            <v>02</v>
          </cell>
          <cell r="E1338" t="str">
            <v>002 00 00</v>
          </cell>
          <cell r="F1338" t="str">
            <v>000</v>
          </cell>
        </row>
        <row r="1339">
          <cell r="A1339" t="str">
            <v>Осуществление отдельных областных государственных полномочий в области охраны здоровья граждан</v>
          </cell>
          <cell r="B1339" t="str">
            <v>904</v>
          </cell>
          <cell r="C1339" t="str">
            <v>09</v>
          </cell>
          <cell r="D1339" t="str">
            <v>02</v>
          </cell>
          <cell r="E1339" t="str">
            <v>002 52 00</v>
          </cell>
          <cell r="F1339" t="str">
            <v>000</v>
          </cell>
        </row>
        <row r="1340">
          <cell r="A1340" t="str">
            <v>Выполнение функций бюджетными учреждениями</v>
          </cell>
          <cell r="B1340" t="str">
            <v>904</v>
          </cell>
          <cell r="C1340" t="str">
            <v>09</v>
          </cell>
          <cell r="D1340" t="str">
            <v>02</v>
          </cell>
          <cell r="E1340" t="str">
            <v>002 52 00</v>
          </cell>
          <cell r="F1340" t="str">
            <v>001</v>
          </cell>
        </row>
        <row r="1341">
          <cell r="A1341" t="str">
            <v>Субсидии некоммерческим организациям</v>
          </cell>
          <cell r="B1341" t="str">
            <v>904</v>
          </cell>
          <cell r="C1341" t="str">
            <v>09</v>
          </cell>
          <cell r="D1341" t="str">
            <v>02</v>
          </cell>
          <cell r="E1341" t="str">
            <v>002 52 00</v>
          </cell>
          <cell r="F1341" t="str">
            <v>019</v>
          </cell>
        </row>
        <row r="1342">
          <cell r="A1342" t="str">
            <v>Больницы, клиники, госпитали, медико-санитарные части</v>
          </cell>
          <cell r="B1342" t="str">
            <v>904</v>
          </cell>
          <cell r="C1342" t="str">
            <v>09</v>
          </cell>
          <cell r="D1342" t="str">
            <v>02</v>
          </cell>
          <cell r="E1342" t="str">
            <v>470 00 00</v>
          </cell>
          <cell r="F1342" t="str">
            <v>000</v>
          </cell>
        </row>
        <row r="1343">
          <cell r="A1343" t="str">
            <v>Обеспечение деятельности подведомственных учреждений</v>
          </cell>
          <cell r="B1343" t="str">
            <v>904</v>
          </cell>
          <cell r="C1343" t="str">
            <v>09</v>
          </cell>
          <cell r="D1343" t="str">
            <v>02</v>
          </cell>
          <cell r="E1343" t="str">
            <v>470 99 00</v>
          </cell>
          <cell r="F1343" t="str">
            <v>000</v>
          </cell>
        </row>
        <row r="1344">
          <cell r="A1344" t="str">
            <v>Выполнение функций бюджетными учреждениями</v>
          </cell>
          <cell r="B1344" t="str">
            <v>904</v>
          </cell>
          <cell r="C1344" t="str">
            <v>09</v>
          </cell>
          <cell r="D1344" t="str">
            <v>02</v>
          </cell>
          <cell r="E1344" t="str">
            <v>470 99 00</v>
          </cell>
          <cell r="F1344" t="str">
            <v>001</v>
          </cell>
        </row>
        <row r="1345">
          <cell r="A1345" t="str">
            <v>Расходы</v>
          </cell>
          <cell r="B1345" t="str">
            <v>904</v>
          </cell>
          <cell r="C1345" t="str">
            <v>09</v>
          </cell>
          <cell r="D1345" t="str">
            <v>02</v>
          </cell>
          <cell r="E1345" t="str">
            <v>470 99 00</v>
          </cell>
          <cell r="F1345" t="str">
            <v>001</v>
          </cell>
        </row>
        <row r="1346">
          <cell r="A1346" t="str">
            <v>Оплата труда и начисления на оплату труда</v>
          </cell>
          <cell r="B1346" t="str">
            <v>904</v>
          </cell>
          <cell r="C1346" t="str">
            <v>09</v>
          </cell>
          <cell r="D1346" t="str">
            <v>02</v>
          </cell>
          <cell r="E1346" t="str">
            <v>470 99 00</v>
          </cell>
          <cell r="F1346" t="str">
            <v>001</v>
          </cell>
        </row>
        <row r="1347">
          <cell r="A1347" t="str">
            <v>Заработная плата</v>
          </cell>
          <cell r="B1347" t="str">
            <v>904</v>
          </cell>
          <cell r="C1347" t="str">
            <v>09</v>
          </cell>
          <cell r="D1347" t="str">
            <v>02</v>
          </cell>
          <cell r="E1347" t="str">
            <v>470 99 00</v>
          </cell>
          <cell r="F1347" t="str">
            <v>001</v>
          </cell>
        </row>
        <row r="1348">
          <cell r="A1348" t="str">
            <v>Прочие выплаты</v>
          </cell>
          <cell r="B1348" t="str">
            <v>904</v>
          </cell>
          <cell r="C1348" t="str">
            <v>09</v>
          </cell>
          <cell r="D1348" t="str">
            <v>02</v>
          </cell>
          <cell r="E1348" t="str">
            <v>470 99 00</v>
          </cell>
          <cell r="F1348" t="str">
            <v>001</v>
          </cell>
        </row>
        <row r="1349">
          <cell r="A1349" t="str">
            <v>Начисление на оплату труда</v>
          </cell>
          <cell r="B1349" t="str">
            <v>904</v>
          </cell>
          <cell r="C1349" t="str">
            <v>09</v>
          </cell>
          <cell r="D1349" t="str">
            <v>02</v>
          </cell>
          <cell r="E1349" t="str">
            <v>470 99 00</v>
          </cell>
          <cell r="F1349" t="str">
            <v>001</v>
          </cell>
        </row>
        <row r="1350">
          <cell r="A1350" t="str">
            <v>Приобретение услуг</v>
          </cell>
          <cell r="B1350" t="str">
            <v>904</v>
          </cell>
          <cell r="C1350" t="str">
            <v>09</v>
          </cell>
          <cell r="D1350" t="str">
            <v>02</v>
          </cell>
          <cell r="E1350" t="str">
            <v>470 99 00</v>
          </cell>
          <cell r="F1350" t="str">
            <v>001</v>
          </cell>
        </row>
        <row r="1351">
          <cell r="A1351" t="str">
            <v>Услуги связи </v>
          </cell>
          <cell r="B1351" t="str">
            <v>904</v>
          </cell>
          <cell r="C1351" t="str">
            <v>09</v>
          </cell>
          <cell r="D1351" t="str">
            <v>02</v>
          </cell>
          <cell r="E1351" t="str">
            <v>470 99 00</v>
          </cell>
          <cell r="F1351" t="str">
            <v>001</v>
          </cell>
        </row>
        <row r="1352">
          <cell r="A1352" t="str">
            <v>Транспортные услуги</v>
          </cell>
          <cell r="B1352" t="str">
            <v>904</v>
          </cell>
          <cell r="C1352" t="str">
            <v>09</v>
          </cell>
          <cell r="D1352" t="str">
            <v>02</v>
          </cell>
          <cell r="E1352" t="str">
            <v>470 99 00</v>
          </cell>
          <cell r="F1352" t="str">
            <v>001</v>
          </cell>
        </row>
        <row r="1353">
          <cell r="A1353" t="str">
            <v>Коммунальные услуги</v>
          </cell>
          <cell r="B1353" t="str">
            <v>904</v>
          </cell>
          <cell r="C1353" t="str">
            <v>09</v>
          </cell>
          <cell r="D1353" t="str">
            <v>02</v>
          </cell>
          <cell r="E1353" t="str">
            <v>470 99 00</v>
          </cell>
          <cell r="F1353" t="str">
            <v>001</v>
          </cell>
        </row>
        <row r="1354">
          <cell r="A1354" t="str">
            <v>Арендная плата за пользование иммуществом </v>
          </cell>
          <cell r="B1354" t="str">
            <v>904</v>
          </cell>
          <cell r="C1354" t="str">
            <v>09</v>
          </cell>
          <cell r="D1354" t="str">
            <v>02</v>
          </cell>
          <cell r="E1354" t="str">
            <v>470 99 00</v>
          </cell>
          <cell r="F1354" t="str">
            <v>001</v>
          </cell>
        </row>
        <row r="1355">
          <cell r="A1355" t="str">
            <v>Услуги по содержанию иммущества</v>
          </cell>
          <cell r="B1355" t="str">
            <v>904</v>
          </cell>
          <cell r="C1355" t="str">
            <v>09</v>
          </cell>
          <cell r="D1355" t="str">
            <v>02</v>
          </cell>
          <cell r="E1355" t="str">
            <v>470 99 00</v>
          </cell>
          <cell r="F1355" t="str">
            <v>001</v>
          </cell>
        </row>
        <row r="1356">
          <cell r="A1356" t="str">
            <v>Услуги по содержанию иммущества 8,40,00</v>
          </cell>
          <cell r="B1356" t="str">
            <v>904</v>
          </cell>
          <cell r="C1356" t="str">
            <v>09</v>
          </cell>
          <cell r="D1356" t="str">
            <v>02</v>
          </cell>
          <cell r="E1356" t="str">
            <v>470 99 00</v>
          </cell>
          <cell r="F1356" t="str">
            <v>001</v>
          </cell>
        </row>
        <row r="1357">
          <cell r="A1357" t="str">
            <v>Прочие услуги</v>
          </cell>
          <cell r="B1357" t="str">
            <v>904</v>
          </cell>
          <cell r="C1357" t="str">
            <v>09</v>
          </cell>
          <cell r="D1357" t="str">
            <v>02</v>
          </cell>
          <cell r="E1357" t="str">
            <v>470 99 00</v>
          </cell>
          <cell r="F1357" t="str">
            <v>001</v>
          </cell>
        </row>
        <row r="1358">
          <cell r="A1358" t="str">
            <v>Прочие расходы </v>
          </cell>
          <cell r="B1358" t="str">
            <v>904</v>
          </cell>
          <cell r="C1358" t="str">
            <v>09</v>
          </cell>
          <cell r="D1358" t="str">
            <v>02</v>
          </cell>
          <cell r="E1358" t="str">
            <v>470 99 00</v>
          </cell>
          <cell r="F1358" t="str">
            <v>001</v>
          </cell>
        </row>
        <row r="1359">
          <cell r="A1359" t="str">
            <v>Поступление нефинансовых активов</v>
          </cell>
          <cell r="B1359" t="str">
            <v>904</v>
          </cell>
          <cell r="C1359" t="str">
            <v>09</v>
          </cell>
          <cell r="D1359" t="str">
            <v>02</v>
          </cell>
          <cell r="E1359" t="str">
            <v>470 99 00</v>
          </cell>
          <cell r="F1359" t="str">
            <v>001</v>
          </cell>
        </row>
        <row r="1360">
          <cell r="A1360" t="str">
            <v>Увеличение стоимости основных средств</v>
          </cell>
          <cell r="B1360" t="str">
            <v>904</v>
          </cell>
          <cell r="C1360" t="str">
            <v>09</v>
          </cell>
          <cell r="D1360" t="str">
            <v>02</v>
          </cell>
          <cell r="E1360" t="str">
            <v>470 99 00</v>
          </cell>
          <cell r="F1360" t="str">
            <v>001</v>
          </cell>
        </row>
        <row r="1361">
          <cell r="A1361" t="str">
            <v>Увеличение стоимости материальных запасов</v>
          </cell>
          <cell r="B1361" t="str">
            <v>904</v>
          </cell>
          <cell r="C1361" t="str">
            <v>09</v>
          </cell>
          <cell r="D1361" t="str">
            <v>02</v>
          </cell>
          <cell r="E1361" t="str">
            <v>470 99 00</v>
          </cell>
          <cell r="F1361" t="str">
            <v>001</v>
          </cell>
        </row>
        <row r="1362">
          <cell r="A1362" t="str">
            <v>Субсидии некоммерческим организациям</v>
          </cell>
          <cell r="B1362" t="str">
            <v>904</v>
          </cell>
          <cell r="C1362" t="str">
            <v>09</v>
          </cell>
          <cell r="D1362" t="str">
            <v>02</v>
          </cell>
          <cell r="E1362" t="str">
            <v>470 99 00</v>
          </cell>
          <cell r="F1362" t="str">
            <v>019</v>
          </cell>
        </row>
        <row r="1363">
          <cell r="A1363" t="str">
            <v>Поликлиники, амбулатории, диагностические центры</v>
          </cell>
          <cell r="B1363" t="str">
            <v>904</v>
          </cell>
          <cell r="C1363" t="str">
            <v>09</v>
          </cell>
          <cell r="D1363" t="str">
            <v>02</v>
          </cell>
          <cell r="E1363" t="str">
            <v>002 00 00</v>
          </cell>
          <cell r="F1363" t="str">
            <v>000</v>
          </cell>
        </row>
        <row r="1364">
          <cell r="A1364" t="str">
            <v>Осуществление отдельных областных государственных полномочий в области охраны здоровья граждан</v>
          </cell>
          <cell r="B1364" t="str">
            <v>904</v>
          </cell>
          <cell r="C1364" t="str">
            <v>09</v>
          </cell>
          <cell r="D1364" t="str">
            <v>02</v>
          </cell>
          <cell r="E1364" t="str">
            <v>002 52 00</v>
          </cell>
          <cell r="F1364" t="str">
            <v>000</v>
          </cell>
        </row>
        <row r="1365">
          <cell r="A1365" t="str">
            <v>Выполнение функций бюджетными учреждениями</v>
          </cell>
          <cell r="B1365" t="str">
            <v>904</v>
          </cell>
          <cell r="C1365" t="str">
            <v>09</v>
          </cell>
          <cell r="D1365" t="str">
            <v>02</v>
          </cell>
          <cell r="E1365" t="str">
            <v>002 52 00</v>
          </cell>
          <cell r="F1365" t="str">
            <v>001</v>
          </cell>
        </row>
        <row r="1366">
          <cell r="A1366" t="str">
            <v>Субсидии некоммерческим организациям</v>
          </cell>
          <cell r="B1366" t="str">
            <v>904</v>
          </cell>
          <cell r="C1366" t="str">
            <v>09</v>
          </cell>
          <cell r="D1366" t="str">
            <v>02</v>
          </cell>
          <cell r="E1366" t="str">
            <v>002 52 00</v>
          </cell>
          <cell r="F1366" t="str">
            <v>019</v>
          </cell>
        </row>
        <row r="1367">
          <cell r="A1367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367" t="str">
            <v>904</v>
          </cell>
          <cell r="C1367" t="str">
            <v>09</v>
          </cell>
          <cell r="D1367" t="str">
            <v>02</v>
          </cell>
          <cell r="E1367" t="str">
            <v>590 00 00</v>
          </cell>
          <cell r="F1367" t="str">
            <v>000</v>
          </cell>
        </row>
        <row r="1368">
          <cell r="A1368" t="str">
            <v>Выполнение функций бюджетными учреждениями</v>
          </cell>
          <cell r="B1368" t="str">
            <v>904</v>
          </cell>
          <cell r="C1368" t="str">
            <v>09</v>
          </cell>
          <cell r="D1368" t="str">
            <v>02</v>
          </cell>
          <cell r="E1368" t="str">
            <v>590 00 00</v>
          </cell>
          <cell r="F1368" t="str">
            <v>001</v>
          </cell>
        </row>
        <row r="1369">
          <cell r="A1369" t="str">
            <v>Поликлиники, амбулатории, диагностические центры</v>
          </cell>
          <cell r="B1369" t="str">
            <v>904</v>
          </cell>
          <cell r="C1369" t="str">
            <v>09</v>
          </cell>
          <cell r="D1369" t="str">
            <v>02</v>
          </cell>
          <cell r="E1369" t="str">
            <v>471 00 00</v>
          </cell>
          <cell r="F1369" t="str">
            <v>000</v>
          </cell>
        </row>
        <row r="1370">
          <cell r="A1370" t="str">
            <v>Обеспечение деятельности подведомственных учреждений</v>
          </cell>
          <cell r="B1370" t="str">
            <v>904</v>
          </cell>
          <cell r="C1370" t="str">
            <v>09</v>
          </cell>
          <cell r="D1370" t="str">
            <v>02</v>
          </cell>
          <cell r="E1370" t="str">
            <v>471 99 00</v>
          </cell>
          <cell r="F1370" t="str">
            <v>000</v>
          </cell>
        </row>
        <row r="1371">
          <cell r="A1371" t="str">
            <v>Выполнение функций бюджетными учреждениями</v>
          </cell>
          <cell r="B1371" t="str">
            <v>904</v>
          </cell>
          <cell r="C1371" t="str">
            <v>09</v>
          </cell>
          <cell r="D1371" t="str">
            <v>02</v>
          </cell>
          <cell r="E1371" t="str">
            <v>471 99 00</v>
          </cell>
          <cell r="F1371" t="str">
            <v>001</v>
          </cell>
        </row>
        <row r="1372">
          <cell r="A1372" t="str">
            <v>Расходы</v>
          </cell>
          <cell r="B1372" t="str">
            <v>904</v>
          </cell>
          <cell r="C1372" t="str">
            <v>09</v>
          </cell>
          <cell r="D1372" t="str">
            <v>02</v>
          </cell>
          <cell r="E1372" t="str">
            <v>471 99 00</v>
          </cell>
          <cell r="F1372" t="str">
            <v>001</v>
          </cell>
        </row>
        <row r="1373">
          <cell r="A1373" t="str">
            <v>Оплата труда и начисления на оплату труда</v>
          </cell>
          <cell r="B1373" t="str">
            <v>904</v>
          </cell>
          <cell r="C1373" t="str">
            <v>09</v>
          </cell>
          <cell r="D1373" t="str">
            <v>02</v>
          </cell>
          <cell r="E1373" t="str">
            <v>471 99 00</v>
          </cell>
          <cell r="F1373" t="str">
            <v>001</v>
          </cell>
        </row>
        <row r="1374">
          <cell r="A1374" t="str">
            <v>Заработная плата</v>
          </cell>
          <cell r="B1374" t="str">
            <v>904</v>
          </cell>
          <cell r="C1374" t="str">
            <v>09</v>
          </cell>
          <cell r="D1374" t="str">
            <v>02</v>
          </cell>
          <cell r="E1374" t="str">
            <v>471 99 00</v>
          </cell>
          <cell r="F1374" t="str">
            <v>001</v>
          </cell>
        </row>
        <row r="1375">
          <cell r="A1375" t="str">
            <v>Прочие выплаты</v>
          </cell>
          <cell r="B1375" t="str">
            <v>904</v>
          </cell>
          <cell r="C1375" t="str">
            <v>09</v>
          </cell>
          <cell r="D1375" t="str">
            <v>02</v>
          </cell>
          <cell r="E1375" t="str">
            <v>471 99 00</v>
          </cell>
          <cell r="F1375" t="str">
            <v>001</v>
          </cell>
        </row>
        <row r="1376">
          <cell r="A1376" t="str">
            <v>Начисление на оплату труда</v>
          </cell>
          <cell r="B1376" t="str">
            <v>904</v>
          </cell>
          <cell r="C1376" t="str">
            <v>09</v>
          </cell>
          <cell r="D1376" t="str">
            <v>02</v>
          </cell>
          <cell r="E1376" t="str">
            <v>471 99 00</v>
          </cell>
          <cell r="F1376" t="str">
            <v>001</v>
          </cell>
        </row>
        <row r="1377">
          <cell r="A1377" t="str">
            <v>Приобретение услуг</v>
          </cell>
          <cell r="B1377" t="str">
            <v>904</v>
          </cell>
          <cell r="C1377" t="str">
            <v>09</v>
          </cell>
          <cell r="D1377" t="str">
            <v>02</v>
          </cell>
          <cell r="E1377" t="str">
            <v>471 99 00</v>
          </cell>
          <cell r="F1377" t="str">
            <v>001</v>
          </cell>
        </row>
        <row r="1378">
          <cell r="A1378" t="str">
            <v>Услуги связи </v>
          </cell>
          <cell r="B1378" t="str">
            <v>904</v>
          </cell>
          <cell r="C1378" t="str">
            <v>09</v>
          </cell>
          <cell r="D1378" t="str">
            <v>02</v>
          </cell>
          <cell r="E1378" t="str">
            <v>471 99 00</v>
          </cell>
          <cell r="F1378" t="str">
            <v>001</v>
          </cell>
        </row>
        <row r="1379">
          <cell r="A1379" t="str">
            <v>Транспортные услуги</v>
          </cell>
          <cell r="B1379" t="str">
            <v>904</v>
          </cell>
          <cell r="C1379" t="str">
            <v>09</v>
          </cell>
          <cell r="D1379" t="str">
            <v>02</v>
          </cell>
          <cell r="E1379" t="str">
            <v>471 99 00</v>
          </cell>
          <cell r="F1379" t="str">
            <v>001</v>
          </cell>
        </row>
        <row r="1380">
          <cell r="A1380" t="str">
            <v>Коммунальные услуги</v>
          </cell>
          <cell r="B1380" t="str">
            <v>904</v>
          </cell>
          <cell r="C1380" t="str">
            <v>09</v>
          </cell>
          <cell r="D1380" t="str">
            <v>02</v>
          </cell>
          <cell r="E1380" t="str">
            <v>471 99 00</v>
          </cell>
          <cell r="F1380" t="str">
            <v>001</v>
          </cell>
        </row>
        <row r="1381">
          <cell r="A1381" t="str">
            <v>Арендная плата за пользование иммуществом </v>
          </cell>
          <cell r="B1381" t="str">
            <v>904</v>
          </cell>
          <cell r="C1381" t="str">
            <v>09</v>
          </cell>
          <cell r="D1381" t="str">
            <v>02</v>
          </cell>
          <cell r="E1381" t="str">
            <v>471 99 00</v>
          </cell>
          <cell r="F1381" t="str">
            <v>001</v>
          </cell>
        </row>
        <row r="1382">
          <cell r="A1382" t="str">
            <v>Услуги по содержанию иммущества</v>
          </cell>
          <cell r="B1382" t="str">
            <v>904</v>
          </cell>
          <cell r="C1382" t="str">
            <v>09</v>
          </cell>
          <cell r="D1382" t="str">
            <v>02</v>
          </cell>
          <cell r="E1382" t="str">
            <v>471 99 00</v>
          </cell>
          <cell r="F1382" t="str">
            <v>001</v>
          </cell>
        </row>
        <row r="1383">
          <cell r="A1383" t="str">
            <v>Услуги по содержанию иммущества 8,40,00</v>
          </cell>
          <cell r="B1383" t="str">
            <v>904</v>
          </cell>
          <cell r="C1383" t="str">
            <v>09</v>
          </cell>
          <cell r="D1383" t="str">
            <v>02</v>
          </cell>
          <cell r="E1383" t="str">
            <v>471 99 00</v>
          </cell>
          <cell r="F1383" t="str">
            <v>001</v>
          </cell>
        </row>
        <row r="1384">
          <cell r="A1384" t="str">
            <v>Прочие услуги</v>
          </cell>
          <cell r="B1384" t="str">
            <v>904</v>
          </cell>
          <cell r="C1384" t="str">
            <v>09</v>
          </cell>
          <cell r="D1384" t="str">
            <v>02</v>
          </cell>
          <cell r="E1384" t="str">
            <v>471 99 00</v>
          </cell>
          <cell r="F1384" t="str">
            <v>001</v>
          </cell>
        </row>
        <row r="1385">
          <cell r="A1385" t="str">
            <v>Прочие расходы </v>
          </cell>
          <cell r="B1385" t="str">
            <v>904</v>
          </cell>
          <cell r="C1385" t="str">
            <v>09</v>
          </cell>
          <cell r="D1385" t="str">
            <v>02</v>
          </cell>
          <cell r="E1385" t="str">
            <v>471 99 00</v>
          </cell>
          <cell r="F1385" t="str">
            <v>001</v>
          </cell>
        </row>
        <row r="1386">
          <cell r="A1386" t="str">
            <v>Поступление нефинансовых активов</v>
          </cell>
          <cell r="B1386" t="str">
            <v>904</v>
          </cell>
          <cell r="C1386" t="str">
            <v>09</v>
          </cell>
          <cell r="D1386" t="str">
            <v>02</v>
          </cell>
          <cell r="E1386" t="str">
            <v>471 99 00</v>
          </cell>
          <cell r="F1386" t="str">
            <v>001</v>
          </cell>
        </row>
        <row r="1387">
          <cell r="A1387" t="str">
            <v>Увеличение стоимости основных средств</v>
          </cell>
          <cell r="B1387" t="str">
            <v>904</v>
          </cell>
          <cell r="C1387" t="str">
            <v>09</v>
          </cell>
          <cell r="D1387" t="str">
            <v>02</v>
          </cell>
          <cell r="E1387" t="str">
            <v>471 99 00</v>
          </cell>
          <cell r="F1387" t="str">
            <v>001</v>
          </cell>
        </row>
        <row r="1388">
          <cell r="A1388" t="str">
            <v>Увеличение стоимости материальных запасов</v>
          </cell>
          <cell r="B1388" t="str">
            <v>904</v>
          </cell>
          <cell r="C1388" t="str">
            <v>09</v>
          </cell>
          <cell r="D1388" t="str">
            <v>02</v>
          </cell>
          <cell r="E1388" t="str">
            <v>471 99 00</v>
          </cell>
          <cell r="F1388" t="str">
            <v>001</v>
          </cell>
        </row>
        <row r="1389">
          <cell r="A1389" t="str">
            <v>Субсидии некоммерческим организациям</v>
          </cell>
          <cell r="B1389" t="str">
            <v>904</v>
          </cell>
          <cell r="C1389" t="str">
            <v>09</v>
          </cell>
          <cell r="D1389" t="str">
            <v>02</v>
          </cell>
          <cell r="E1389" t="str">
            <v>471 99 00</v>
          </cell>
          <cell r="F1389" t="str">
            <v>019</v>
          </cell>
        </row>
        <row r="1390">
          <cell r="A1390" t="str">
            <v>Иные безвозмездные и безвозвратные перечисления </v>
          </cell>
          <cell r="B1390" t="str">
            <v>904</v>
          </cell>
          <cell r="C1390" t="str">
            <v>09</v>
          </cell>
          <cell r="D1390" t="str">
            <v>02</v>
          </cell>
          <cell r="E1390" t="str">
            <v>520 00 00</v>
          </cell>
          <cell r="F1390" t="str">
            <v>000 </v>
          </cell>
        </row>
        <row r="1391">
          <cell r="A1391" t="str">
            <v>Денежные выплаты медицинскому персоналу фельдшерско-акушерских пунктов, врачам, фельдшерам и медицинским сестрам скорой медицинской помощи</v>
          </cell>
          <cell r="B1391" t="str">
            <v>904</v>
          </cell>
          <cell r="C1391" t="str">
            <v>09</v>
          </cell>
          <cell r="D1391" t="str">
            <v>02</v>
          </cell>
          <cell r="E1391" t="str">
            <v>520 18 00</v>
          </cell>
          <cell r="F1391" t="str">
            <v>000</v>
          </cell>
        </row>
        <row r="1392">
          <cell r="A1392" t="str">
            <v>Выполнение функций бюджетными учреждениями</v>
          </cell>
          <cell r="B1392" t="str">
            <v>904</v>
          </cell>
          <cell r="C1392" t="str">
            <v>09</v>
          </cell>
          <cell r="D1392" t="str">
            <v>02</v>
          </cell>
          <cell r="E1392" t="str">
            <v>520 18 00</v>
          </cell>
          <cell r="F1392" t="str">
            <v>001</v>
          </cell>
        </row>
        <row r="1393">
          <cell r="A1393" t="str">
            <v>Расходы</v>
          </cell>
          <cell r="B1393" t="str">
            <v>904</v>
          </cell>
          <cell r="C1393" t="str">
            <v>09</v>
          </cell>
          <cell r="D1393" t="str">
            <v>02</v>
          </cell>
          <cell r="E1393" t="str">
            <v>520 18 00</v>
          </cell>
          <cell r="F1393" t="str">
            <v>001</v>
          </cell>
        </row>
        <row r="1394">
          <cell r="A1394" t="str">
            <v>Оплата труда и начисления на оплату труда</v>
          </cell>
          <cell r="B1394" t="str">
            <v>904</v>
          </cell>
          <cell r="C1394" t="str">
            <v>09</v>
          </cell>
          <cell r="D1394" t="str">
            <v>02</v>
          </cell>
          <cell r="E1394" t="str">
            <v>520 18 00</v>
          </cell>
          <cell r="F1394" t="str">
            <v>001</v>
          </cell>
        </row>
        <row r="1395">
          <cell r="A1395" t="str">
            <v>Заработная плата</v>
          </cell>
          <cell r="B1395" t="str">
            <v>904</v>
          </cell>
          <cell r="C1395" t="str">
            <v>09</v>
          </cell>
          <cell r="D1395" t="str">
            <v>02</v>
          </cell>
          <cell r="E1395" t="str">
            <v>520 18 00</v>
          </cell>
          <cell r="F1395" t="str">
            <v>001</v>
          </cell>
        </row>
        <row r="1396">
          <cell r="A1396" t="str">
            <v>Начисление на оплату труда</v>
          </cell>
          <cell r="B1396" t="str">
            <v>904</v>
          </cell>
          <cell r="C1396" t="str">
            <v>09</v>
          </cell>
          <cell r="D1396" t="str">
            <v>02</v>
          </cell>
          <cell r="E1396" t="str">
            <v>520 18 00</v>
          </cell>
          <cell r="F1396" t="str">
            <v>001</v>
          </cell>
        </row>
        <row r="1397">
          <cell r="A1397" t="str">
            <v>Субсидии некоммерческим организациям</v>
          </cell>
          <cell r="B1397" t="str">
            <v>904</v>
          </cell>
          <cell r="C1397" t="str">
            <v>09</v>
          </cell>
          <cell r="D1397" t="str">
            <v>02</v>
          </cell>
          <cell r="E1397" t="str">
            <v>520 18 00</v>
          </cell>
          <cell r="F1397" t="str">
            <v>019</v>
          </cell>
        </row>
        <row r="1398">
          <cell r="A1398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398" t="str">
            <v>904</v>
          </cell>
          <cell r="C1398" t="str">
            <v>09</v>
          </cell>
          <cell r="D1398" t="str">
            <v>02</v>
          </cell>
          <cell r="E1398" t="str">
            <v>590 00 00</v>
          </cell>
          <cell r="F1398" t="str">
            <v>000</v>
          </cell>
        </row>
        <row r="1399">
          <cell r="A1399" t="str">
            <v>Выполнение функций бюджетными учреждениями</v>
          </cell>
          <cell r="B1399" t="str">
            <v>904</v>
          </cell>
          <cell r="C1399" t="str">
            <v>09</v>
          </cell>
          <cell r="D1399" t="str">
            <v>02</v>
          </cell>
          <cell r="E1399" t="str">
            <v>590 00 00</v>
          </cell>
          <cell r="F1399" t="str">
            <v>001</v>
          </cell>
        </row>
        <row r="1400">
          <cell r="A1400" t="str">
            <v>Погашение просроченной кредиторской задолженности по состоянию на 1 апреля 2012 года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</v>
          </cell>
          <cell r="B1400" t="str">
            <v>904</v>
          </cell>
          <cell r="C1400" t="str">
            <v>09</v>
          </cell>
          <cell r="D1400" t="str">
            <v>02</v>
          </cell>
          <cell r="E1400" t="str">
            <v>594 00 00</v>
          </cell>
          <cell r="F1400" t="str">
            <v>000</v>
          </cell>
        </row>
        <row r="1401">
          <cell r="A1401" t="str">
            <v>Субсидии некоммерческим организациям</v>
          </cell>
          <cell r="B1401" t="str">
            <v>904</v>
          </cell>
          <cell r="C1401" t="str">
            <v>09</v>
          </cell>
          <cell r="D1401" t="str">
            <v>02</v>
          </cell>
          <cell r="E1401" t="str">
            <v>594 00 00</v>
          </cell>
          <cell r="F1401" t="str">
            <v>019</v>
          </cell>
        </row>
        <row r="1402">
          <cell r="A1402" t="str">
            <v>Медицинская помощь в дневных стационарах всех типов</v>
          </cell>
          <cell r="B1402" t="str">
            <v>904</v>
          </cell>
          <cell r="C1402" t="str">
            <v>09</v>
          </cell>
          <cell r="D1402" t="str">
            <v>03</v>
          </cell>
          <cell r="E1402" t="str">
            <v>000 00 00</v>
          </cell>
          <cell r="F1402" t="str">
            <v>000</v>
          </cell>
        </row>
        <row r="1403">
          <cell r="A1403" t="str">
            <v>Больницы, клиники, госпитали, медико-санитарные части</v>
          </cell>
          <cell r="B1403" t="str">
            <v>904</v>
          </cell>
          <cell r="C1403" t="str">
            <v>09</v>
          </cell>
          <cell r="D1403" t="str">
            <v>03</v>
          </cell>
          <cell r="E1403" t="str">
            <v>002 00 00</v>
          </cell>
          <cell r="F1403" t="str">
            <v>000</v>
          </cell>
        </row>
        <row r="1404">
          <cell r="A1404" t="str">
            <v>Осуществление отдельных областных государственных полномочий в области охраны здоровья граждан</v>
          </cell>
          <cell r="B1404" t="str">
            <v>904</v>
          </cell>
          <cell r="C1404" t="str">
            <v>09</v>
          </cell>
          <cell r="D1404" t="str">
            <v>03</v>
          </cell>
          <cell r="E1404" t="str">
            <v>002 52 00</v>
          </cell>
          <cell r="F1404" t="str">
            <v>000</v>
          </cell>
        </row>
        <row r="1405">
          <cell r="A1405" t="str">
            <v>Выполнение функций бюджетными учреждениями</v>
          </cell>
          <cell r="B1405" t="str">
            <v>904</v>
          </cell>
          <cell r="C1405" t="str">
            <v>09</v>
          </cell>
          <cell r="D1405" t="str">
            <v>03</v>
          </cell>
          <cell r="E1405" t="str">
            <v>002 52 00</v>
          </cell>
          <cell r="F1405" t="str">
            <v>001</v>
          </cell>
        </row>
        <row r="1406">
          <cell r="A1406" t="str">
            <v>Субсидии некоммерческим организациям</v>
          </cell>
          <cell r="B1406" t="str">
            <v>904</v>
          </cell>
          <cell r="C1406" t="str">
            <v>09</v>
          </cell>
          <cell r="D1406" t="str">
            <v>03</v>
          </cell>
          <cell r="E1406" t="str">
            <v>002 52 00</v>
          </cell>
          <cell r="F1406" t="str">
            <v>019</v>
          </cell>
        </row>
        <row r="1407">
          <cell r="A1407" t="str">
            <v>Больницы, клиники, госпитали, медико-санитарные части</v>
          </cell>
          <cell r="B1407" t="str">
            <v>904</v>
          </cell>
          <cell r="C1407" t="str">
            <v>09</v>
          </cell>
          <cell r="D1407" t="str">
            <v>03</v>
          </cell>
          <cell r="E1407" t="str">
            <v>470 00 00</v>
          </cell>
          <cell r="F1407" t="str">
            <v>000</v>
          </cell>
        </row>
        <row r="1408">
          <cell r="A1408" t="str">
            <v>Обеспечение деятельности подведомственных учреждений</v>
          </cell>
          <cell r="B1408" t="str">
            <v>904</v>
          </cell>
          <cell r="C1408" t="str">
            <v>09</v>
          </cell>
          <cell r="D1408" t="str">
            <v>03</v>
          </cell>
          <cell r="E1408" t="str">
            <v>470 99 00</v>
          </cell>
          <cell r="F1408" t="str">
            <v>000</v>
          </cell>
        </row>
        <row r="1409">
          <cell r="A1409" t="str">
            <v>Выполнение функций бюджетными учреждениями</v>
          </cell>
          <cell r="B1409" t="str">
            <v>904</v>
          </cell>
          <cell r="C1409" t="str">
            <v>09</v>
          </cell>
          <cell r="D1409" t="str">
            <v>03</v>
          </cell>
          <cell r="E1409" t="str">
            <v>470 99 00</v>
          </cell>
          <cell r="F1409" t="str">
            <v>001</v>
          </cell>
        </row>
        <row r="1410">
          <cell r="A1410" t="str">
            <v>Расходы</v>
          </cell>
          <cell r="B1410" t="str">
            <v>904</v>
          </cell>
          <cell r="C1410" t="str">
            <v>09</v>
          </cell>
          <cell r="D1410" t="str">
            <v>03</v>
          </cell>
          <cell r="E1410" t="str">
            <v>470 99 00</v>
          </cell>
          <cell r="F1410" t="str">
            <v>001</v>
          </cell>
        </row>
        <row r="1411">
          <cell r="A1411" t="str">
            <v>Оплата труда и начисления на оплату труда</v>
          </cell>
          <cell r="B1411" t="str">
            <v>904</v>
          </cell>
          <cell r="C1411" t="str">
            <v>09</v>
          </cell>
          <cell r="D1411" t="str">
            <v>03</v>
          </cell>
          <cell r="E1411" t="str">
            <v>470 99 00</v>
          </cell>
          <cell r="F1411" t="str">
            <v>001</v>
          </cell>
        </row>
        <row r="1412">
          <cell r="A1412" t="str">
            <v>Заработная плата</v>
          </cell>
          <cell r="B1412" t="str">
            <v>904</v>
          </cell>
          <cell r="C1412" t="str">
            <v>09</v>
          </cell>
          <cell r="D1412" t="str">
            <v>03</v>
          </cell>
          <cell r="E1412" t="str">
            <v>470 99 00</v>
          </cell>
          <cell r="F1412" t="str">
            <v>001</v>
          </cell>
        </row>
        <row r="1413">
          <cell r="A1413" t="str">
            <v>Прочие выплаты</v>
          </cell>
          <cell r="B1413" t="str">
            <v>904</v>
          </cell>
          <cell r="C1413" t="str">
            <v>09</v>
          </cell>
          <cell r="D1413" t="str">
            <v>03</v>
          </cell>
          <cell r="E1413" t="str">
            <v>470 99 00</v>
          </cell>
          <cell r="F1413" t="str">
            <v>001</v>
          </cell>
        </row>
        <row r="1414">
          <cell r="A1414" t="str">
            <v>Начисление на оплату труда</v>
          </cell>
          <cell r="B1414" t="str">
            <v>904</v>
          </cell>
          <cell r="C1414" t="str">
            <v>09</v>
          </cell>
          <cell r="D1414" t="str">
            <v>03</v>
          </cell>
          <cell r="E1414" t="str">
            <v>470 99 00</v>
          </cell>
          <cell r="F1414" t="str">
            <v>001</v>
          </cell>
        </row>
        <row r="1415">
          <cell r="A1415" t="str">
            <v>Приобретение услуг</v>
          </cell>
          <cell r="B1415" t="str">
            <v>904</v>
          </cell>
          <cell r="C1415" t="str">
            <v>09</v>
          </cell>
          <cell r="D1415" t="str">
            <v>03</v>
          </cell>
          <cell r="E1415" t="str">
            <v>470 99 00</v>
          </cell>
          <cell r="F1415" t="str">
            <v>001</v>
          </cell>
        </row>
        <row r="1416">
          <cell r="A1416" t="str">
            <v>Услуги связи </v>
          </cell>
          <cell r="B1416" t="str">
            <v>904</v>
          </cell>
          <cell r="C1416" t="str">
            <v>09</v>
          </cell>
          <cell r="D1416" t="str">
            <v>03</v>
          </cell>
          <cell r="E1416" t="str">
            <v>470 99 00</v>
          </cell>
          <cell r="F1416" t="str">
            <v>001</v>
          </cell>
        </row>
        <row r="1417">
          <cell r="A1417" t="str">
            <v>Транспортные услуги</v>
          </cell>
          <cell r="B1417" t="str">
            <v>904</v>
          </cell>
          <cell r="C1417" t="str">
            <v>09</v>
          </cell>
          <cell r="D1417" t="str">
            <v>03</v>
          </cell>
          <cell r="E1417" t="str">
            <v>470 99 00</v>
          </cell>
          <cell r="F1417" t="str">
            <v>001</v>
          </cell>
        </row>
        <row r="1418">
          <cell r="A1418" t="str">
            <v>Коммунальные услуги</v>
          </cell>
          <cell r="B1418" t="str">
            <v>904</v>
          </cell>
          <cell r="C1418" t="str">
            <v>09</v>
          </cell>
          <cell r="D1418" t="str">
            <v>03</v>
          </cell>
          <cell r="E1418" t="str">
            <v>470 99 00</v>
          </cell>
          <cell r="F1418" t="str">
            <v>001</v>
          </cell>
        </row>
        <row r="1419">
          <cell r="A1419" t="str">
            <v>Арендная плата за пользование иммуществом </v>
          </cell>
          <cell r="B1419" t="str">
            <v>904</v>
          </cell>
          <cell r="C1419" t="str">
            <v>09</v>
          </cell>
          <cell r="D1419" t="str">
            <v>03</v>
          </cell>
          <cell r="E1419" t="str">
            <v>470 99 00</v>
          </cell>
          <cell r="F1419" t="str">
            <v>001</v>
          </cell>
        </row>
        <row r="1420">
          <cell r="A1420" t="str">
            <v>Услуги по содержанию иммущества</v>
          </cell>
          <cell r="B1420" t="str">
            <v>904</v>
          </cell>
          <cell r="C1420" t="str">
            <v>09</v>
          </cell>
          <cell r="D1420" t="str">
            <v>03</v>
          </cell>
          <cell r="E1420" t="str">
            <v>470 99 00</v>
          </cell>
          <cell r="F1420" t="str">
            <v>001</v>
          </cell>
        </row>
        <row r="1421">
          <cell r="A1421" t="str">
            <v>Прочие услуги</v>
          </cell>
          <cell r="B1421" t="str">
            <v>904</v>
          </cell>
          <cell r="C1421" t="str">
            <v>09</v>
          </cell>
          <cell r="D1421" t="str">
            <v>03</v>
          </cell>
          <cell r="E1421" t="str">
            <v>470 99 00</v>
          </cell>
          <cell r="F1421" t="str">
            <v>001</v>
          </cell>
        </row>
        <row r="1422">
          <cell r="A1422" t="str">
            <v>Прочие расходы </v>
          </cell>
          <cell r="B1422" t="str">
            <v>904</v>
          </cell>
          <cell r="C1422" t="str">
            <v>09</v>
          </cell>
          <cell r="D1422" t="str">
            <v>03</v>
          </cell>
          <cell r="E1422" t="str">
            <v>470 99 00</v>
          </cell>
          <cell r="F1422" t="str">
            <v>001</v>
          </cell>
        </row>
        <row r="1423">
          <cell r="A1423" t="str">
            <v>Поступление нефинансовых активов</v>
          </cell>
          <cell r="B1423" t="str">
            <v>904</v>
          </cell>
          <cell r="C1423" t="str">
            <v>09</v>
          </cell>
          <cell r="D1423" t="str">
            <v>03</v>
          </cell>
          <cell r="E1423" t="str">
            <v>470 99 00</v>
          </cell>
          <cell r="F1423" t="str">
            <v>001</v>
          </cell>
        </row>
        <row r="1424">
          <cell r="A1424" t="str">
            <v>Увеличение стоимости основных средств</v>
          </cell>
          <cell r="B1424" t="str">
            <v>904</v>
          </cell>
          <cell r="C1424" t="str">
            <v>09</v>
          </cell>
          <cell r="D1424" t="str">
            <v>03</v>
          </cell>
          <cell r="E1424" t="str">
            <v>470 99 00</v>
          </cell>
          <cell r="F1424" t="str">
            <v>001</v>
          </cell>
        </row>
        <row r="1425">
          <cell r="A1425" t="str">
            <v>Увеличение стоимости материальных запасов</v>
          </cell>
          <cell r="B1425" t="str">
            <v>904</v>
          </cell>
          <cell r="C1425" t="str">
            <v>09</v>
          </cell>
          <cell r="D1425" t="str">
            <v>03</v>
          </cell>
          <cell r="E1425" t="str">
            <v>470 99 00</v>
          </cell>
          <cell r="F1425" t="str">
            <v>001</v>
          </cell>
        </row>
        <row r="1426">
          <cell r="A1426" t="str">
            <v>Субсидии некоммерческим организациям</v>
          </cell>
          <cell r="B1426" t="str">
            <v>904</v>
          </cell>
          <cell r="C1426" t="str">
            <v>09</v>
          </cell>
          <cell r="D1426" t="str">
            <v>03</v>
          </cell>
          <cell r="E1426" t="str">
            <v>470 99 00</v>
          </cell>
          <cell r="F1426" t="str">
            <v>019</v>
          </cell>
        </row>
        <row r="1427">
          <cell r="A1427" t="str">
            <v>Поликлиники, амбулатории, диагностические центры</v>
          </cell>
          <cell r="B1427" t="str">
            <v>904</v>
          </cell>
          <cell r="C1427" t="str">
            <v>09</v>
          </cell>
          <cell r="D1427" t="str">
            <v>03</v>
          </cell>
          <cell r="E1427" t="str">
            <v>002 00 00</v>
          </cell>
          <cell r="F1427" t="str">
            <v>000</v>
          </cell>
        </row>
        <row r="1428">
          <cell r="A1428" t="str">
            <v>Осуществление отдельных областных государственных полномочий в области охраны здоровья граждан</v>
          </cell>
          <cell r="B1428" t="str">
            <v>904</v>
          </cell>
          <cell r="C1428" t="str">
            <v>09</v>
          </cell>
          <cell r="D1428" t="str">
            <v>03</v>
          </cell>
          <cell r="E1428" t="str">
            <v>002 52 00</v>
          </cell>
          <cell r="F1428" t="str">
            <v>000</v>
          </cell>
        </row>
        <row r="1429">
          <cell r="A1429" t="str">
            <v>Выполнение функций бюджетными учреждениями</v>
          </cell>
          <cell r="B1429" t="str">
            <v>904</v>
          </cell>
          <cell r="C1429" t="str">
            <v>09</v>
          </cell>
          <cell r="D1429" t="str">
            <v>03</v>
          </cell>
          <cell r="E1429" t="str">
            <v>002 52 00</v>
          </cell>
          <cell r="F1429" t="str">
            <v>001</v>
          </cell>
        </row>
        <row r="1430">
          <cell r="A1430" t="str">
            <v>Субсидии некоммерческим организациям</v>
          </cell>
          <cell r="B1430" t="str">
            <v>904</v>
          </cell>
          <cell r="C1430" t="str">
            <v>09</v>
          </cell>
          <cell r="D1430" t="str">
            <v>03</v>
          </cell>
          <cell r="E1430" t="str">
            <v>002 52 00</v>
          </cell>
          <cell r="F1430" t="str">
            <v>019</v>
          </cell>
        </row>
        <row r="1431">
          <cell r="A1431" t="str">
            <v>Поликлиники, амбулатории, диагностические центры</v>
          </cell>
          <cell r="B1431" t="str">
            <v>904</v>
          </cell>
          <cell r="C1431" t="str">
            <v>09</v>
          </cell>
          <cell r="D1431" t="str">
            <v>03</v>
          </cell>
          <cell r="E1431" t="str">
            <v>471 00 00</v>
          </cell>
          <cell r="F1431" t="str">
            <v>000</v>
          </cell>
        </row>
        <row r="1432">
          <cell r="A1432" t="str">
            <v>Обеспечение деятельности подведомственных учреждений</v>
          </cell>
          <cell r="B1432" t="str">
            <v>904</v>
          </cell>
          <cell r="C1432" t="str">
            <v>09</v>
          </cell>
          <cell r="D1432" t="str">
            <v>03</v>
          </cell>
          <cell r="E1432" t="str">
            <v>471 99 00</v>
          </cell>
          <cell r="F1432" t="str">
            <v>000</v>
          </cell>
        </row>
        <row r="1433">
          <cell r="A1433" t="str">
            <v>Субсидии некоммерческим организациям</v>
          </cell>
          <cell r="B1433" t="str">
            <v>904</v>
          </cell>
          <cell r="C1433" t="str">
            <v>09</v>
          </cell>
          <cell r="D1433" t="str">
            <v>03</v>
          </cell>
          <cell r="E1433" t="str">
            <v>471 99 00</v>
          </cell>
          <cell r="F1433" t="str">
            <v>019</v>
          </cell>
        </row>
        <row r="1434">
          <cell r="A1434" t="str">
            <v>Расходы</v>
          </cell>
          <cell r="B1434" t="str">
            <v>904</v>
          </cell>
          <cell r="C1434" t="str">
            <v>09</v>
          </cell>
          <cell r="D1434" t="str">
            <v>03</v>
          </cell>
          <cell r="E1434" t="str">
            <v>471 99 00</v>
          </cell>
          <cell r="F1434" t="str">
            <v>001</v>
          </cell>
        </row>
        <row r="1435">
          <cell r="A1435" t="str">
            <v>Оплата труда и начисления на оплату труда</v>
          </cell>
          <cell r="B1435" t="str">
            <v>904</v>
          </cell>
          <cell r="C1435" t="str">
            <v>09</v>
          </cell>
          <cell r="D1435" t="str">
            <v>03</v>
          </cell>
          <cell r="E1435" t="str">
            <v>471 99 00</v>
          </cell>
          <cell r="F1435" t="str">
            <v>001</v>
          </cell>
        </row>
        <row r="1436">
          <cell r="A1436" t="str">
            <v>Заработная плата</v>
          </cell>
          <cell r="B1436" t="str">
            <v>904</v>
          </cell>
          <cell r="C1436" t="str">
            <v>09</v>
          </cell>
          <cell r="D1436" t="str">
            <v>03</v>
          </cell>
          <cell r="E1436" t="str">
            <v>471 99 00</v>
          </cell>
          <cell r="F1436" t="str">
            <v>001</v>
          </cell>
        </row>
        <row r="1437">
          <cell r="A1437" t="str">
            <v>Прочие выплаты</v>
          </cell>
          <cell r="B1437" t="str">
            <v>904</v>
          </cell>
          <cell r="C1437" t="str">
            <v>09</v>
          </cell>
          <cell r="D1437" t="str">
            <v>03</v>
          </cell>
          <cell r="E1437" t="str">
            <v>471 99 00</v>
          </cell>
          <cell r="F1437" t="str">
            <v>001</v>
          </cell>
        </row>
        <row r="1438">
          <cell r="A1438" t="str">
            <v>Начисление на оплату труда</v>
          </cell>
          <cell r="B1438" t="str">
            <v>904</v>
          </cell>
          <cell r="C1438" t="str">
            <v>09</v>
          </cell>
          <cell r="D1438" t="str">
            <v>03</v>
          </cell>
          <cell r="E1438" t="str">
            <v>471 99 00</v>
          </cell>
          <cell r="F1438" t="str">
            <v>001</v>
          </cell>
        </row>
        <row r="1439">
          <cell r="A1439" t="str">
            <v>Приобретение услуг</v>
          </cell>
          <cell r="B1439" t="str">
            <v>904</v>
          </cell>
          <cell r="C1439" t="str">
            <v>09</v>
          </cell>
          <cell r="D1439" t="str">
            <v>03</v>
          </cell>
          <cell r="E1439" t="str">
            <v>471 99 00</v>
          </cell>
          <cell r="F1439" t="str">
            <v>001</v>
          </cell>
        </row>
        <row r="1440">
          <cell r="A1440" t="str">
            <v>Услуги связи </v>
          </cell>
          <cell r="B1440" t="str">
            <v>904</v>
          </cell>
          <cell r="C1440" t="str">
            <v>09</v>
          </cell>
          <cell r="D1440" t="str">
            <v>03</v>
          </cell>
          <cell r="E1440" t="str">
            <v>471 99 00</v>
          </cell>
          <cell r="F1440" t="str">
            <v>001</v>
          </cell>
        </row>
        <row r="1441">
          <cell r="A1441" t="str">
            <v>Транспортные услуги</v>
          </cell>
          <cell r="B1441" t="str">
            <v>904</v>
          </cell>
          <cell r="C1441" t="str">
            <v>09</v>
          </cell>
          <cell r="D1441" t="str">
            <v>03</v>
          </cell>
          <cell r="E1441" t="str">
            <v>471 99 00</v>
          </cell>
          <cell r="F1441" t="str">
            <v>001</v>
          </cell>
        </row>
        <row r="1442">
          <cell r="A1442" t="str">
            <v>Коммунальные услуги</v>
          </cell>
          <cell r="B1442" t="str">
            <v>904</v>
          </cell>
          <cell r="C1442" t="str">
            <v>09</v>
          </cell>
          <cell r="D1442" t="str">
            <v>03</v>
          </cell>
          <cell r="E1442" t="str">
            <v>471 99 00</v>
          </cell>
          <cell r="F1442" t="str">
            <v>001</v>
          </cell>
        </row>
        <row r="1443">
          <cell r="A1443" t="str">
            <v>Арендная плата за пользование иммуществом </v>
          </cell>
          <cell r="B1443" t="str">
            <v>904</v>
          </cell>
          <cell r="C1443" t="str">
            <v>09</v>
          </cell>
          <cell r="D1443" t="str">
            <v>03</v>
          </cell>
          <cell r="E1443" t="str">
            <v>471 99 00</v>
          </cell>
          <cell r="F1443" t="str">
            <v>001</v>
          </cell>
        </row>
        <row r="1444">
          <cell r="A1444" t="str">
            <v>Услуги по содержанию иммущества</v>
          </cell>
          <cell r="B1444" t="str">
            <v>904</v>
          </cell>
          <cell r="C1444" t="str">
            <v>09</v>
          </cell>
          <cell r="D1444" t="str">
            <v>03</v>
          </cell>
          <cell r="E1444" t="str">
            <v>471 99 00</v>
          </cell>
          <cell r="F1444" t="str">
            <v>001</v>
          </cell>
        </row>
        <row r="1445">
          <cell r="A1445" t="str">
            <v>Прочие услуги</v>
          </cell>
          <cell r="B1445" t="str">
            <v>904</v>
          </cell>
          <cell r="C1445" t="str">
            <v>09</v>
          </cell>
          <cell r="D1445" t="str">
            <v>03</v>
          </cell>
          <cell r="E1445" t="str">
            <v>471 99 00</v>
          </cell>
          <cell r="F1445" t="str">
            <v>001</v>
          </cell>
        </row>
        <row r="1446">
          <cell r="A1446" t="str">
            <v>Прочие расходы </v>
          </cell>
          <cell r="B1446" t="str">
            <v>904</v>
          </cell>
          <cell r="C1446" t="str">
            <v>09</v>
          </cell>
          <cell r="D1446" t="str">
            <v>03</v>
          </cell>
          <cell r="E1446" t="str">
            <v>471 99 00</v>
          </cell>
          <cell r="F1446" t="str">
            <v>001</v>
          </cell>
        </row>
        <row r="1447">
          <cell r="A1447" t="str">
            <v>Поступление нефинансовых активов</v>
          </cell>
          <cell r="B1447" t="str">
            <v>904</v>
          </cell>
          <cell r="C1447" t="str">
            <v>09</v>
          </cell>
          <cell r="D1447" t="str">
            <v>03</v>
          </cell>
          <cell r="E1447" t="str">
            <v>471 99 00</v>
          </cell>
          <cell r="F1447" t="str">
            <v>001</v>
          </cell>
        </row>
        <row r="1448">
          <cell r="A1448" t="str">
            <v>Увеличение стоимости основных средств</v>
          </cell>
          <cell r="B1448" t="str">
            <v>904</v>
          </cell>
          <cell r="C1448" t="str">
            <v>09</v>
          </cell>
          <cell r="D1448" t="str">
            <v>03</v>
          </cell>
          <cell r="E1448" t="str">
            <v>471 99 00</v>
          </cell>
          <cell r="F1448" t="str">
            <v>001</v>
          </cell>
        </row>
        <row r="1449">
          <cell r="A1449" t="str">
            <v>Увеличение стоимости материальных запасов</v>
          </cell>
          <cell r="B1449" t="str">
            <v>904</v>
          </cell>
          <cell r="C1449" t="str">
            <v>09</v>
          </cell>
          <cell r="D1449" t="str">
            <v>03</v>
          </cell>
          <cell r="E1449" t="str">
            <v>471 99 00</v>
          </cell>
          <cell r="F1449" t="str">
            <v>001</v>
          </cell>
        </row>
        <row r="1450">
          <cell r="A1450" t="str">
            <v>Скорая медицинская помощь</v>
          </cell>
          <cell r="B1450" t="str">
            <v>904</v>
          </cell>
          <cell r="C1450" t="str">
            <v>09</v>
          </cell>
          <cell r="D1450" t="str">
            <v>04</v>
          </cell>
          <cell r="E1450" t="str">
            <v>000 00 00</v>
          </cell>
          <cell r="F1450" t="str">
            <v>000</v>
          </cell>
        </row>
        <row r="1451">
          <cell r="A1451" t="str">
            <v>Больницы, клиники, госпитали, медико- санитарные части </v>
          </cell>
          <cell r="B1451" t="str">
            <v>904</v>
          </cell>
          <cell r="C1451" t="str">
            <v>09</v>
          </cell>
          <cell r="D1451" t="str">
            <v>04</v>
          </cell>
          <cell r="E1451" t="str">
            <v>002 00 00</v>
          </cell>
          <cell r="F1451" t="str">
            <v>000</v>
          </cell>
        </row>
        <row r="1452">
          <cell r="A1452" t="str">
            <v>Осуществление отдельных областных государственных полномочий в области охраны здоровья граждан</v>
          </cell>
          <cell r="B1452" t="str">
            <v>904</v>
          </cell>
          <cell r="C1452" t="str">
            <v>09</v>
          </cell>
          <cell r="D1452" t="str">
            <v>04</v>
          </cell>
          <cell r="E1452" t="str">
            <v>002 52 00</v>
          </cell>
          <cell r="F1452" t="str">
            <v>000</v>
          </cell>
        </row>
        <row r="1453">
          <cell r="A1453" t="str">
            <v>Выполнение функций бюджетными учреждениями</v>
          </cell>
          <cell r="B1453" t="str">
            <v>904</v>
          </cell>
          <cell r="C1453" t="str">
            <v>09</v>
          </cell>
          <cell r="D1453" t="str">
            <v>04</v>
          </cell>
          <cell r="E1453" t="str">
            <v>002 52 00</v>
          </cell>
          <cell r="F1453" t="str">
            <v>001</v>
          </cell>
        </row>
        <row r="1454">
          <cell r="A1454" t="str">
            <v>Субсидии некоммерческим организациям</v>
          </cell>
          <cell r="B1454" t="str">
            <v>904</v>
          </cell>
          <cell r="C1454" t="str">
            <v>09</v>
          </cell>
          <cell r="D1454" t="str">
            <v>04</v>
          </cell>
          <cell r="E1454" t="str">
            <v>002 52 00</v>
          </cell>
          <cell r="F1454" t="str">
            <v>019</v>
          </cell>
        </row>
        <row r="1455">
          <cell r="A1455" t="str">
            <v>Больницы, клиники, госпитали, медико- санитарные части </v>
          </cell>
          <cell r="B1455" t="str">
            <v>904</v>
          </cell>
          <cell r="C1455" t="str">
            <v>09</v>
          </cell>
          <cell r="D1455" t="str">
            <v>04</v>
          </cell>
          <cell r="E1455" t="str">
            <v>470 00 00</v>
          </cell>
          <cell r="F1455" t="str">
            <v>000</v>
          </cell>
        </row>
        <row r="1456">
          <cell r="A1456" t="str">
            <v>Обеспечение деятельности подведомственных учреждений</v>
          </cell>
          <cell r="B1456" t="str">
            <v>904</v>
          </cell>
          <cell r="C1456" t="str">
            <v>09</v>
          </cell>
          <cell r="D1456" t="str">
            <v>04</v>
          </cell>
          <cell r="E1456" t="str">
            <v>470 99 00</v>
          </cell>
          <cell r="F1456" t="str">
            <v>000</v>
          </cell>
        </row>
        <row r="1457">
          <cell r="A1457" t="str">
            <v>Выполнение функций бюджетными учреждениями</v>
          </cell>
          <cell r="B1457" t="str">
            <v>904</v>
          </cell>
          <cell r="C1457" t="str">
            <v>09</v>
          </cell>
          <cell r="D1457" t="str">
            <v>04</v>
          </cell>
          <cell r="E1457" t="str">
            <v>470 99 00</v>
          </cell>
          <cell r="F1457" t="str">
            <v>001</v>
          </cell>
        </row>
        <row r="1458">
          <cell r="A1458" t="str">
            <v>Расходы</v>
          </cell>
          <cell r="B1458" t="str">
            <v>904</v>
          </cell>
          <cell r="C1458" t="str">
            <v>09</v>
          </cell>
          <cell r="D1458" t="str">
            <v>04</v>
          </cell>
          <cell r="E1458" t="str">
            <v>470 99 00</v>
          </cell>
          <cell r="F1458" t="str">
            <v>001</v>
          </cell>
        </row>
        <row r="1459">
          <cell r="A1459" t="str">
            <v>Оплата труда и начисления на оплату труда</v>
          </cell>
          <cell r="B1459" t="str">
            <v>904</v>
          </cell>
          <cell r="C1459" t="str">
            <v>09</v>
          </cell>
          <cell r="D1459" t="str">
            <v>04</v>
          </cell>
          <cell r="E1459" t="str">
            <v>470 99 00</v>
          </cell>
          <cell r="F1459" t="str">
            <v>001</v>
          </cell>
        </row>
        <row r="1460">
          <cell r="A1460" t="str">
            <v>Заработная плата</v>
          </cell>
          <cell r="B1460" t="str">
            <v>904</v>
          </cell>
          <cell r="C1460" t="str">
            <v>09</v>
          </cell>
          <cell r="D1460" t="str">
            <v>04</v>
          </cell>
          <cell r="E1460" t="str">
            <v>470 99 00</v>
          </cell>
          <cell r="F1460" t="str">
            <v>001</v>
          </cell>
        </row>
        <row r="1461">
          <cell r="A1461" t="str">
            <v>Прочие выплаты</v>
          </cell>
          <cell r="B1461" t="str">
            <v>904</v>
          </cell>
          <cell r="C1461" t="str">
            <v>09</v>
          </cell>
          <cell r="D1461" t="str">
            <v>04</v>
          </cell>
          <cell r="E1461" t="str">
            <v>470 99 00</v>
          </cell>
          <cell r="F1461" t="str">
            <v>001</v>
          </cell>
        </row>
        <row r="1462">
          <cell r="A1462" t="str">
            <v>Начисление на оплату труда</v>
          </cell>
          <cell r="B1462" t="str">
            <v>904</v>
          </cell>
          <cell r="C1462" t="str">
            <v>09</v>
          </cell>
          <cell r="D1462" t="str">
            <v>04</v>
          </cell>
          <cell r="E1462" t="str">
            <v>470 99 00</v>
          </cell>
          <cell r="F1462" t="str">
            <v>001</v>
          </cell>
        </row>
        <row r="1463">
          <cell r="A1463" t="str">
            <v>Приобретение услуг</v>
          </cell>
          <cell r="B1463" t="str">
            <v>904</v>
          </cell>
          <cell r="C1463" t="str">
            <v>09</v>
          </cell>
          <cell r="D1463" t="str">
            <v>04</v>
          </cell>
          <cell r="E1463" t="str">
            <v>470 99 00</v>
          </cell>
          <cell r="F1463" t="str">
            <v>001</v>
          </cell>
        </row>
        <row r="1464">
          <cell r="A1464" t="str">
            <v>Услуги связи </v>
          </cell>
          <cell r="B1464" t="str">
            <v>904</v>
          </cell>
          <cell r="C1464" t="str">
            <v>09</v>
          </cell>
          <cell r="D1464" t="str">
            <v>04</v>
          </cell>
          <cell r="E1464" t="str">
            <v>470 99 00</v>
          </cell>
          <cell r="F1464" t="str">
            <v>001</v>
          </cell>
        </row>
        <row r="1465">
          <cell r="A1465" t="str">
            <v>Транспортные услуги</v>
          </cell>
          <cell r="B1465" t="str">
            <v>904</v>
          </cell>
          <cell r="C1465" t="str">
            <v>09</v>
          </cell>
          <cell r="D1465" t="str">
            <v>04</v>
          </cell>
          <cell r="E1465" t="str">
            <v>470 99 00</v>
          </cell>
          <cell r="F1465" t="str">
            <v>001</v>
          </cell>
        </row>
        <row r="1466">
          <cell r="A1466" t="str">
            <v>Коммунальные услуги</v>
          </cell>
          <cell r="B1466" t="str">
            <v>904</v>
          </cell>
          <cell r="C1466" t="str">
            <v>09</v>
          </cell>
          <cell r="D1466" t="str">
            <v>04</v>
          </cell>
          <cell r="E1466" t="str">
            <v>470 99 00</v>
          </cell>
          <cell r="F1466" t="str">
            <v>001</v>
          </cell>
        </row>
        <row r="1467">
          <cell r="A1467" t="str">
            <v>Арендная плата за пользование иммуществом </v>
          </cell>
          <cell r="B1467" t="str">
            <v>904</v>
          </cell>
          <cell r="C1467" t="str">
            <v>09</v>
          </cell>
          <cell r="D1467" t="str">
            <v>04</v>
          </cell>
          <cell r="E1467" t="str">
            <v>470 99 00</v>
          </cell>
          <cell r="F1467" t="str">
            <v>001</v>
          </cell>
        </row>
        <row r="1468">
          <cell r="A1468" t="str">
            <v>Услуги по содержанию иммущества</v>
          </cell>
          <cell r="B1468" t="str">
            <v>904</v>
          </cell>
          <cell r="C1468" t="str">
            <v>09</v>
          </cell>
          <cell r="D1468" t="str">
            <v>04</v>
          </cell>
          <cell r="E1468" t="str">
            <v>470 99 00</v>
          </cell>
          <cell r="F1468" t="str">
            <v>001</v>
          </cell>
        </row>
        <row r="1469">
          <cell r="A1469" t="str">
            <v>Прочие услуги</v>
          </cell>
          <cell r="B1469" t="str">
            <v>904</v>
          </cell>
          <cell r="C1469" t="str">
            <v>09</v>
          </cell>
          <cell r="D1469" t="str">
            <v>04</v>
          </cell>
          <cell r="E1469" t="str">
            <v>470 99 00</v>
          </cell>
          <cell r="F1469" t="str">
            <v>001</v>
          </cell>
        </row>
        <row r="1470">
          <cell r="A1470" t="str">
            <v>Прочие расходы </v>
          </cell>
          <cell r="B1470" t="str">
            <v>904</v>
          </cell>
          <cell r="C1470" t="str">
            <v>09</v>
          </cell>
          <cell r="D1470" t="str">
            <v>04</v>
          </cell>
          <cell r="E1470" t="str">
            <v>470 99 00</v>
          </cell>
          <cell r="F1470" t="str">
            <v>001</v>
          </cell>
        </row>
        <row r="1471">
          <cell r="A1471" t="str">
            <v>Поступление нефинансовых активов</v>
          </cell>
          <cell r="B1471" t="str">
            <v>904</v>
          </cell>
          <cell r="C1471" t="str">
            <v>09</v>
          </cell>
          <cell r="D1471" t="str">
            <v>04</v>
          </cell>
          <cell r="E1471" t="str">
            <v>470 99 00</v>
          </cell>
          <cell r="F1471" t="str">
            <v>001</v>
          </cell>
        </row>
        <row r="1472">
          <cell r="A1472" t="str">
            <v>Увеличение стоимости основных средств</v>
          </cell>
          <cell r="B1472" t="str">
            <v>904</v>
          </cell>
          <cell r="C1472" t="str">
            <v>09</v>
          </cell>
          <cell r="D1472" t="str">
            <v>04</v>
          </cell>
          <cell r="E1472" t="str">
            <v>470 99 00</v>
          </cell>
          <cell r="F1472" t="str">
            <v>001</v>
          </cell>
        </row>
        <row r="1473">
          <cell r="A1473" t="str">
            <v>Увеличение стоимости материальных запасов</v>
          </cell>
          <cell r="B1473" t="str">
            <v>904</v>
          </cell>
          <cell r="C1473" t="str">
            <v>09</v>
          </cell>
          <cell r="D1473" t="str">
            <v>04</v>
          </cell>
          <cell r="E1473" t="str">
            <v>470 99 00</v>
          </cell>
          <cell r="F1473" t="str">
            <v>001</v>
          </cell>
        </row>
        <row r="1474">
          <cell r="A1474" t="str">
            <v>Субсидии некоммерческим организациям</v>
          </cell>
          <cell r="B1474" t="str">
            <v>904</v>
          </cell>
          <cell r="C1474" t="str">
            <v>09</v>
          </cell>
          <cell r="D1474" t="str">
            <v>04</v>
          </cell>
          <cell r="E1474" t="str">
            <v>470 99 00</v>
          </cell>
          <cell r="F1474" t="str">
            <v>019</v>
          </cell>
        </row>
        <row r="1475">
          <cell r="A1475" t="str">
            <v>Иные безвозмездные и безвозвратные перечисления </v>
          </cell>
          <cell r="B1475" t="str">
            <v>904</v>
          </cell>
          <cell r="C1475" t="str">
            <v>09</v>
          </cell>
          <cell r="D1475" t="str">
            <v>04</v>
          </cell>
          <cell r="E1475" t="str">
            <v>520 00 00</v>
          </cell>
          <cell r="F1475" t="str">
            <v>000 </v>
          </cell>
        </row>
        <row r="1476">
          <cell r="A1476" t="str">
            <v>Денежные выплаты медицинскому персоналу фельдшерско-акушерских пунктов, врачам, фельдшерам и медицинским сестрам скорой медицинской помощи</v>
          </cell>
          <cell r="B1476" t="str">
            <v>904</v>
          </cell>
          <cell r="C1476" t="str">
            <v>09</v>
          </cell>
          <cell r="D1476" t="str">
            <v>04</v>
          </cell>
          <cell r="E1476" t="str">
            <v>520 18 00</v>
          </cell>
          <cell r="F1476" t="str">
            <v>000</v>
          </cell>
        </row>
        <row r="1477">
          <cell r="A1477" t="str">
            <v>Выполнение функций бюджетными учреждениями</v>
          </cell>
          <cell r="B1477" t="str">
            <v>904</v>
          </cell>
          <cell r="C1477" t="str">
            <v>09</v>
          </cell>
          <cell r="D1477" t="str">
            <v>04</v>
          </cell>
          <cell r="E1477" t="str">
            <v>520 18 00</v>
          </cell>
          <cell r="F1477" t="str">
            <v>001</v>
          </cell>
        </row>
        <row r="1478">
          <cell r="A1478" t="str">
            <v>Расходы</v>
          </cell>
          <cell r="B1478" t="str">
            <v>904</v>
          </cell>
          <cell r="C1478" t="str">
            <v>09</v>
          </cell>
          <cell r="D1478" t="str">
            <v>04</v>
          </cell>
          <cell r="E1478" t="str">
            <v>520 18 00</v>
          </cell>
          <cell r="F1478" t="str">
            <v>001</v>
          </cell>
        </row>
        <row r="1479">
          <cell r="A1479" t="str">
            <v>Оплата труда и начисления на оплату труда</v>
          </cell>
          <cell r="B1479" t="str">
            <v>904</v>
          </cell>
          <cell r="C1479" t="str">
            <v>09</v>
          </cell>
          <cell r="D1479" t="str">
            <v>04</v>
          </cell>
          <cell r="E1479" t="str">
            <v>520 18 00</v>
          </cell>
          <cell r="F1479" t="str">
            <v>001</v>
          </cell>
        </row>
        <row r="1480">
          <cell r="A1480" t="str">
            <v>Заработная плата</v>
          </cell>
          <cell r="B1480" t="str">
            <v>904</v>
          </cell>
          <cell r="C1480" t="str">
            <v>09</v>
          </cell>
          <cell r="D1480" t="str">
            <v>04</v>
          </cell>
          <cell r="E1480" t="str">
            <v>520 18 00</v>
          </cell>
          <cell r="F1480" t="str">
            <v>001</v>
          </cell>
        </row>
        <row r="1481">
          <cell r="A1481" t="str">
            <v>Начисление на оплату труда</v>
          </cell>
          <cell r="B1481" t="str">
            <v>904</v>
          </cell>
          <cell r="C1481" t="str">
            <v>09</v>
          </cell>
          <cell r="D1481" t="str">
            <v>04</v>
          </cell>
          <cell r="E1481" t="str">
            <v>520 18 00</v>
          </cell>
          <cell r="F1481" t="str">
            <v>001</v>
          </cell>
        </row>
        <row r="1482">
          <cell r="A1482" t="str">
            <v>Обеспечение оказания дополнительной медицинской помощи, оказываемой врачами- терапевтами участковыми, врачами-педиаторами участковыми,и т.п.</v>
          </cell>
          <cell r="B1482" t="str">
            <v>904</v>
          </cell>
          <cell r="C1482" t="str">
            <v>09</v>
          </cell>
          <cell r="D1482" t="str">
            <v>02</v>
          </cell>
          <cell r="E1482" t="str">
            <v>520 21 00</v>
          </cell>
          <cell r="F1482" t="str">
            <v>001</v>
          </cell>
        </row>
        <row r="1483">
          <cell r="A1483" t="str">
            <v>Оплата труда и начисления на оплату труда</v>
          </cell>
          <cell r="B1483" t="str">
            <v>904</v>
          </cell>
          <cell r="C1483" t="str">
            <v>09</v>
          </cell>
          <cell r="D1483" t="str">
            <v>02</v>
          </cell>
          <cell r="E1483" t="str">
            <v>520 21 00</v>
          </cell>
          <cell r="F1483" t="str">
            <v>001</v>
          </cell>
        </row>
        <row r="1484">
          <cell r="A1484" t="str">
            <v>Заработная плата</v>
          </cell>
          <cell r="B1484" t="str">
            <v>904</v>
          </cell>
          <cell r="C1484" t="str">
            <v>09</v>
          </cell>
          <cell r="D1484" t="str">
            <v>02</v>
          </cell>
          <cell r="E1484" t="str">
            <v>520 21 00</v>
          </cell>
          <cell r="F1484" t="str">
            <v>001</v>
          </cell>
        </row>
        <row r="1485">
          <cell r="A1485" t="str">
            <v>Начисление на оплату труда</v>
          </cell>
          <cell r="B1485" t="str">
            <v>904</v>
          </cell>
          <cell r="C1485" t="str">
            <v>09</v>
          </cell>
          <cell r="D1485" t="str">
            <v>02</v>
          </cell>
          <cell r="E1485" t="str">
            <v>520 21 00</v>
          </cell>
          <cell r="F1485" t="str">
            <v>001</v>
          </cell>
        </row>
        <row r="1486">
          <cell r="A1486" t="str">
            <v>Спорт и физическая культура</v>
          </cell>
          <cell r="B1486" t="str">
            <v>904</v>
          </cell>
          <cell r="C1486" t="str">
            <v>09</v>
          </cell>
          <cell r="D1486" t="str">
            <v>08</v>
          </cell>
          <cell r="E1486" t="str">
            <v>000 00 00</v>
          </cell>
          <cell r="F1486" t="str">
            <v>000</v>
          </cell>
        </row>
        <row r="1487">
          <cell r="A1487" t="str">
            <v>Центры спортивной подготовки (сборные команды) </v>
          </cell>
          <cell r="B1487" t="str">
            <v>904</v>
          </cell>
          <cell r="C1487" t="str">
            <v>09</v>
          </cell>
          <cell r="D1487" t="str">
            <v>08</v>
          </cell>
          <cell r="E1487" t="str">
            <v>482 00 00</v>
          </cell>
          <cell r="F1487" t="str">
            <v>000</v>
          </cell>
        </row>
        <row r="1488">
          <cell r="A1488" t="str">
            <v>Обеспечение детельности  подведомственных учреждений </v>
          </cell>
          <cell r="B1488" t="str">
            <v>904</v>
          </cell>
          <cell r="C1488" t="str">
            <v>09</v>
          </cell>
          <cell r="D1488" t="str">
            <v>08</v>
          </cell>
          <cell r="E1488" t="str">
            <v>482 99 00</v>
          </cell>
          <cell r="F1488" t="str">
            <v>000</v>
          </cell>
        </row>
        <row r="1489">
          <cell r="A1489" t="str">
            <v>Выполнение функций бюджетными учреждениями</v>
          </cell>
          <cell r="B1489" t="str">
            <v>904</v>
          </cell>
          <cell r="C1489" t="str">
            <v>09</v>
          </cell>
          <cell r="D1489" t="str">
            <v>08</v>
          </cell>
          <cell r="E1489" t="str">
            <v>482 99 00</v>
          </cell>
          <cell r="F1489" t="str">
            <v>001</v>
          </cell>
        </row>
        <row r="1490">
          <cell r="A1490" t="str">
            <v>Расходы</v>
          </cell>
          <cell r="B1490" t="str">
            <v>904</v>
          </cell>
          <cell r="C1490" t="str">
            <v>09</v>
          </cell>
          <cell r="D1490" t="str">
            <v>08</v>
          </cell>
          <cell r="E1490" t="str">
            <v>482 99 00</v>
          </cell>
          <cell r="F1490" t="str">
            <v>001</v>
          </cell>
        </row>
        <row r="1491">
          <cell r="A1491" t="str">
            <v>Оплата труда и начисления на оплату труда</v>
          </cell>
          <cell r="B1491" t="str">
            <v>904</v>
          </cell>
          <cell r="C1491" t="str">
            <v>09</v>
          </cell>
          <cell r="D1491" t="str">
            <v>08</v>
          </cell>
          <cell r="E1491" t="str">
            <v>482 99 00</v>
          </cell>
          <cell r="F1491" t="str">
            <v>001</v>
          </cell>
        </row>
        <row r="1492">
          <cell r="A1492" t="str">
            <v>Заработная плата</v>
          </cell>
          <cell r="B1492" t="str">
            <v>904</v>
          </cell>
          <cell r="C1492" t="str">
            <v>09</v>
          </cell>
          <cell r="D1492" t="str">
            <v>08</v>
          </cell>
          <cell r="E1492" t="str">
            <v>482 99 00</v>
          </cell>
          <cell r="F1492" t="str">
            <v>001</v>
          </cell>
        </row>
        <row r="1493">
          <cell r="A1493" t="str">
            <v>Прочие выплаты</v>
          </cell>
          <cell r="B1493" t="str">
            <v>904</v>
          </cell>
          <cell r="C1493" t="str">
            <v>09</v>
          </cell>
          <cell r="D1493" t="str">
            <v>08</v>
          </cell>
          <cell r="E1493" t="str">
            <v>482 99 00</v>
          </cell>
          <cell r="F1493" t="str">
            <v>001</v>
          </cell>
        </row>
        <row r="1494">
          <cell r="A1494" t="str">
            <v>Начисление на оплату труда</v>
          </cell>
          <cell r="B1494" t="str">
            <v>904</v>
          </cell>
          <cell r="C1494" t="str">
            <v>09</v>
          </cell>
          <cell r="D1494" t="str">
            <v>08</v>
          </cell>
          <cell r="E1494" t="str">
            <v>482 99 00</v>
          </cell>
          <cell r="F1494" t="str">
            <v>001</v>
          </cell>
        </row>
        <row r="1495">
          <cell r="A1495" t="str">
            <v>Приобретение услуг</v>
          </cell>
          <cell r="B1495" t="str">
            <v>904</v>
          </cell>
          <cell r="C1495" t="str">
            <v>09</v>
          </cell>
          <cell r="D1495" t="str">
            <v>08</v>
          </cell>
          <cell r="E1495" t="str">
            <v>482 99 00</v>
          </cell>
          <cell r="F1495" t="str">
            <v>001</v>
          </cell>
        </row>
        <row r="1496">
          <cell r="A1496" t="str">
            <v>Услуги связи </v>
          </cell>
          <cell r="B1496" t="str">
            <v>904</v>
          </cell>
          <cell r="C1496" t="str">
            <v>09</v>
          </cell>
          <cell r="D1496" t="str">
            <v>08</v>
          </cell>
          <cell r="E1496" t="str">
            <v>482 99 00</v>
          </cell>
          <cell r="F1496" t="str">
            <v>001</v>
          </cell>
        </row>
        <row r="1497">
          <cell r="A1497" t="str">
            <v>Транспортные услуги</v>
          </cell>
          <cell r="B1497" t="str">
            <v>904</v>
          </cell>
          <cell r="C1497" t="str">
            <v>09</v>
          </cell>
          <cell r="D1497" t="str">
            <v>08</v>
          </cell>
          <cell r="E1497" t="str">
            <v>482 99 00</v>
          </cell>
          <cell r="F1497" t="str">
            <v>001</v>
          </cell>
        </row>
        <row r="1498">
          <cell r="A1498" t="str">
            <v>Коммунальные услуги</v>
          </cell>
          <cell r="B1498" t="str">
            <v>904</v>
          </cell>
          <cell r="C1498" t="str">
            <v>09</v>
          </cell>
          <cell r="D1498" t="str">
            <v>08</v>
          </cell>
          <cell r="E1498" t="str">
            <v>482 99 00</v>
          </cell>
          <cell r="F1498" t="str">
            <v>001</v>
          </cell>
        </row>
        <row r="1499">
          <cell r="A1499" t="str">
            <v>Арендная плата за пользование иммуществом </v>
          </cell>
          <cell r="B1499" t="str">
            <v>904</v>
          </cell>
          <cell r="C1499" t="str">
            <v>09</v>
          </cell>
          <cell r="D1499" t="str">
            <v>08</v>
          </cell>
          <cell r="E1499" t="str">
            <v>482 99 00</v>
          </cell>
          <cell r="F1499" t="str">
            <v>001</v>
          </cell>
        </row>
        <row r="1500">
          <cell r="A1500" t="str">
            <v>Услуги по содержанию иммущества</v>
          </cell>
          <cell r="B1500" t="str">
            <v>904</v>
          </cell>
          <cell r="C1500" t="str">
            <v>09</v>
          </cell>
          <cell r="D1500" t="str">
            <v>08</v>
          </cell>
          <cell r="E1500" t="str">
            <v>482 99 00</v>
          </cell>
          <cell r="F1500" t="str">
            <v>001</v>
          </cell>
        </row>
        <row r="1501">
          <cell r="A1501" t="str">
            <v>Прочие услуги</v>
          </cell>
          <cell r="B1501" t="str">
            <v>904</v>
          </cell>
          <cell r="C1501" t="str">
            <v>09</v>
          </cell>
          <cell r="D1501" t="str">
            <v>08</v>
          </cell>
          <cell r="E1501" t="str">
            <v>482 99 00</v>
          </cell>
          <cell r="F1501" t="str">
            <v>001</v>
          </cell>
        </row>
        <row r="1502">
          <cell r="A1502" t="str">
            <v>Прочие расходы </v>
          </cell>
          <cell r="B1502" t="str">
            <v>904</v>
          </cell>
          <cell r="C1502" t="str">
            <v>09</v>
          </cell>
          <cell r="D1502" t="str">
            <v>08</v>
          </cell>
          <cell r="E1502" t="str">
            <v>482 99 00</v>
          </cell>
          <cell r="F1502" t="str">
            <v>001</v>
          </cell>
        </row>
        <row r="1503">
          <cell r="A1503" t="str">
            <v>Поступление нефинансовых активов</v>
          </cell>
          <cell r="B1503" t="str">
            <v>904</v>
          </cell>
          <cell r="C1503" t="str">
            <v>09</v>
          </cell>
          <cell r="D1503" t="str">
            <v>08</v>
          </cell>
          <cell r="E1503" t="str">
            <v>482 99 00</v>
          </cell>
          <cell r="F1503" t="str">
            <v>001</v>
          </cell>
        </row>
        <row r="1504">
          <cell r="A1504" t="str">
            <v>Увеличение стоимости основных средств</v>
          </cell>
          <cell r="B1504" t="str">
            <v>904</v>
          </cell>
          <cell r="C1504" t="str">
            <v>09</v>
          </cell>
          <cell r="D1504" t="str">
            <v>08</v>
          </cell>
          <cell r="E1504" t="str">
            <v>482 99 00</v>
          </cell>
          <cell r="F1504" t="str">
            <v>001</v>
          </cell>
        </row>
        <row r="1505">
          <cell r="A1505" t="str">
            <v>Увеличение стоимости материальных запасов</v>
          </cell>
          <cell r="B1505" t="str">
            <v>904</v>
          </cell>
          <cell r="C1505" t="str">
            <v>09</v>
          </cell>
          <cell r="D1505" t="str">
            <v>08</v>
          </cell>
          <cell r="E1505" t="str">
            <v>482 99 00</v>
          </cell>
          <cell r="F1505" t="str">
            <v>001</v>
          </cell>
        </row>
        <row r="1506">
          <cell r="A1506" t="str">
            <v>Физкультурно-оздоровительная работа и спортивные мероприятия</v>
          </cell>
          <cell r="B1506" t="str">
            <v>904</v>
          </cell>
          <cell r="C1506" t="str">
            <v>09</v>
          </cell>
          <cell r="D1506" t="str">
            <v>08</v>
          </cell>
          <cell r="E1506" t="str">
            <v>512 00 00</v>
          </cell>
          <cell r="F1506" t="str">
            <v>000</v>
          </cell>
        </row>
        <row r="1507">
          <cell r="A1507" t="str">
            <v>Мероприятия в области здравоохранения, спорта и физической культуры, туризма </v>
          </cell>
          <cell r="B1507" t="str">
            <v>904</v>
          </cell>
          <cell r="C1507" t="str">
            <v>09</v>
          </cell>
          <cell r="D1507" t="str">
            <v>08</v>
          </cell>
          <cell r="E1507" t="str">
            <v>512 97 00</v>
          </cell>
          <cell r="F1507" t="str">
            <v>000</v>
          </cell>
        </row>
        <row r="1508">
          <cell r="A1508" t="str">
            <v>Выполнение функций органами местного самоуправления</v>
          </cell>
          <cell r="B1508" t="str">
            <v>904</v>
          </cell>
          <cell r="C1508" t="str">
            <v>09</v>
          </cell>
          <cell r="D1508" t="str">
            <v>08</v>
          </cell>
          <cell r="E1508" t="str">
            <v>512 97 00</v>
          </cell>
          <cell r="F1508" t="str">
            <v>500</v>
          </cell>
        </row>
        <row r="1509">
          <cell r="A1509" t="str">
            <v>Расходы</v>
          </cell>
          <cell r="B1509" t="str">
            <v>904</v>
          </cell>
          <cell r="C1509" t="str">
            <v>09</v>
          </cell>
          <cell r="D1509" t="str">
            <v>08</v>
          </cell>
          <cell r="E1509" t="str">
            <v>512 97 00</v>
          </cell>
          <cell r="F1509" t="str">
            <v>500</v>
          </cell>
        </row>
        <row r="1510">
          <cell r="A1510" t="str">
            <v>Приобретение услуг</v>
          </cell>
          <cell r="B1510" t="str">
            <v>904</v>
          </cell>
          <cell r="C1510" t="str">
            <v>09</v>
          </cell>
          <cell r="D1510" t="str">
            <v>08</v>
          </cell>
          <cell r="E1510" t="str">
            <v>512 97 00</v>
          </cell>
          <cell r="F1510" t="str">
            <v>500</v>
          </cell>
        </row>
        <row r="1511">
          <cell r="A1511" t="str">
            <v>Транспортные услуги</v>
          </cell>
          <cell r="B1511" t="str">
            <v>902</v>
          </cell>
          <cell r="C1511" t="str">
            <v>09</v>
          </cell>
          <cell r="D1511" t="str">
            <v>08</v>
          </cell>
          <cell r="E1511" t="str">
            <v>512 97 00</v>
          </cell>
          <cell r="F1511" t="str">
            <v>500</v>
          </cell>
        </row>
        <row r="1512">
          <cell r="A1512" t="str">
            <v>Прочие услуги</v>
          </cell>
          <cell r="B1512" t="str">
            <v>902</v>
          </cell>
          <cell r="C1512" t="str">
            <v>09</v>
          </cell>
          <cell r="D1512" t="str">
            <v>08</v>
          </cell>
          <cell r="E1512" t="str">
            <v>512 97 00</v>
          </cell>
          <cell r="F1512" t="str">
            <v>500</v>
          </cell>
        </row>
        <row r="1513">
          <cell r="A1513" t="str">
            <v>Прочие расходы</v>
          </cell>
          <cell r="B1513" t="str">
            <v>902</v>
          </cell>
          <cell r="C1513" t="str">
            <v>09</v>
          </cell>
          <cell r="D1513" t="str">
            <v>08</v>
          </cell>
          <cell r="E1513" t="str">
            <v>512 97 00</v>
          </cell>
          <cell r="F1513" t="str">
            <v>500</v>
          </cell>
        </row>
        <row r="1514">
          <cell r="A1514" t="str">
            <v>Прочие услуги</v>
          </cell>
          <cell r="B1514" t="str">
            <v>902</v>
          </cell>
          <cell r="C1514" t="str">
            <v>09</v>
          </cell>
          <cell r="D1514" t="str">
            <v>08</v>
          </cell>
          <cell r="E1514" t="str">
            <v>512 97 00</v>
          </cell>
          <cell r="F1514" t="str">
            <v>500</v>
          </cell>
        </row>
        <row r="1515">
          <cell r="A1515" t="str">
            <v>Прочие расходы</v>
          </cell>
          <cell r="B1515" t="str">
            <v>904</v>
          </cell>
          <cell r="C1515" t="str">
            <v>09</v>
          </cell>
          <cell r="D1515" t="str">
            <v>08</v>
          </cell>
          <cell r="E1515" t="str">
            <v>512 97 00</v>
          </cell>
          <cell r="F1515" t="str">
            <v>500</v>
          </cell>
        </row>
        <row r="1516">
          <cell r="A1516" t="str">
            <v>Прочие расходы</v>
          </cell>
          <cell r="B1516" t="str">
            <v>902</v>
          </cell>
          <cell r="C1516" t="str">
            <v>09</v>
          </cell>
          <cell r="D1516" t="str">
            <v>08</v>
          </cell>
          <cell r="E1516" t="str">
            <v>512 97 00</v>
          </cell>
          <cell r="F1516" t="str">
            <v>500</v>
          </cell>
        </row>
        <row r="1517">
          <cell r="A1517" t="str">
            <v>Поступление нефинансовых активов</v>
          </cell>
          <cell r="B1517" t="str">
            <v>904</v>
          </cell>
          <cell r="C1517" t="str">
            <v>09</v>
          </cell>
          <cell r="D1517" t="str">
            <v>08</v>
          </cell>
          <cell r="E1517" t="str">
            <v>512 97 00</v>
          </cell>
          <cell r="F1517" t="str">
            <v>500</v>
          </cell>
        </row>
        <row r="1518">
          <cell r="A1518" t="str">
            <v>Увеличение стоимости материальных запасов </v>
          </cell>
          <cell r="B1518" t="str">
            <v>906</v>
          </cell>
          <cell r="C1518" t="str">
            <v>09</v>
          </cell>
          <cell r="D1518" t="str">
            <v>08</v>
          </cell>
          <cell r="E1518" t="str">
            <v>512 97 00</v>
          </cell>
          <cell r="F1518" t="str">
            <v>500</v>
          </cell>
        </row>
        <row r="1519">
          <cell r="A1519" t="str">
            <v>Региональные целевые программы</v>
          </cell>
          <cell r="B1519" t="str">
            <v>907</v>
          </cell>
          <cell r="C1519" t="str">
            <v>09</v>
          </cell>
          <cell r="D1519" t="str">
            <v>08</v>
          </cell>
          <cell r="E1519" t="str">
            <v>512 97 00</v>
          </cell>
          <cell r="F1519" t="str">
            <v>500</v>
          </cell>
        </row>
        <row r="1520">
          <cell r="A1520" t="str">
            <v>Мероприятия в области здравоохранения, спорта и физической культуры </v>
          </cell>
          <cell r="B1520" t="str">
            <v>908</v>
          </cell>
          <cell r="C1520" t="str">
            <v>09</v>
          </cell>
          <cell r="D1520" t="str">
            <v>08</v>
          </cell>
          <cell r="E1520" t="str">
            <v>512 97 00</v>
          </cell>
          <cell r="F1520" t="str">
            <v>500</v>
          </cell>
        </row>
        <row r="1521">
          <cell r="A1521" t="str">
            <v>Прочие услуги </v>
          </cell>
          <cell r="B1521" t="str">
            <v>909</v>
          </cell>
          <cell r="C1521" t="str">
            <v>09</v>
          </cell>
          <cell r="D1521" t="str">
            <v>08</v>
          </cell>
          <cell r="E1521" t="str">
            <v>512 97 00</v>
          </cell>
          <cell r="F1521" t="str">
            <v>500</v>
          </cell>
        </row>
        <row r="1522">
          <cell r="A1522" t="str">
            <v>Увеличение стоимости материальных запасов</v>
          </cell>
          <cell r="B1522" t="str">
            <v>910</v>
          </cell>
          <cell r="C1522" t="str">
            <v>09</v>
          </cell>
          <cell r="D1522" t="str">
            <v>08</v>
          </cell>
          <cell r="E1522" t="str">
            <v>512 97 00</v>
          </cell>
          <cell r="F1522" t="str">
            <v>500</v>
          </cell>
        </row>
        <row r="1523">
          <cell r="A1523" t="str">
            <v>Увеличение стоимости материальных запасов</v>
          </cell>
          <cell r="B1523" t="str">
            <v>904</v>
          </cell>
          <cell r="C1523" t="str">
            <v>09</v>
          </cell>
          <cell r="D1523" t="str">
            <v>08</v>
          </cell>
          <cell r="E1523" t="str">
            <v>512 97 00</v>
          </cell>
          <cell r="F1523" t="str">
            <v>500</v>
          </cell>
        </row>
        <row r="1524">
          <cell r="A1524" t="str">
            <v>Целевые программы муниципальных образований </v>
          </cell>
          <cell r="B1524" t="str">
            <v>901</v>
          </cell>
          <cell r="C1524" t="str">
            <v>09</v>
          </cell>
          <cell r="D1524" t="str">
            <v>08</v>
          </cell>
          <cell r="E1524" t="str">
            <v>795 00 00</v>
          </cell>
          <cell r="F1524" t="str">
            <v>500</v>
          </cell>
        </row>
        <row r="1525">
          <cell r="A1525" t="str">
            <v>Мероприятие в области здравоохранения, спорта и физической культуры, туризма</v>
          </cell>
          <cell r="B1525" t="str">
            <v>901</v>
          </cell>
          <cell r="C1525" t="str">
            <v>09</v>
          </cell>
          <cell r="D1525" t="str">
            <v>08</v>
          </cell>
          <cell r="E1525" t="str">
            <v>795 00 00</v>
          </cell>
          <cell r="F1525" t="str">
            <v>500</v>
          </cell>
        </row>
        <row r="1526">
          <cell r="A1526" t="str">
            <v>Прочие услуги</v>
          </cell>
          <cell r="B1526" t="str">
            <v>901</v>
          </cell>
          <cell r="C1526" t="str">
            <v>09</v>
          </cell>
          <cell r="D1526" t="str">
            <v>08</v>
          </cell>
          <cell r="E1526" t="str">
            <v>795 00 00</v>
          </cell>
          <cell r="F1526" t="str">
            <v>500</v>
          </cell>
        </row>
        <row r="1527">
          <cell r="A1527" t="str">
            <v>Увеличение стоимости материальных запасов </v>
          </cell>
          <cell r="B1527" t="str">
            <v>901</v>
          </cell>
          <cell r="C1527" t="str">
            <v>09</v>
          </cell>
          <cell r="D1527" t="str">
            <v>08</v>
          </cell>
          <cell r="E1527" t="str">
            <v>795 00 00</v>
          </cell>
          <cell r="F1527" t="str">
            <v>500</v>
          </cell>
        </row>
        <row r="1528">
          <cell r="A1528" t="str">
            <v>Увеличение стоимости материальных запасов</v>
          </cell>
          <cell r="B1528" t="str">
            <v>902</v>
          </cell>
          <cell r="C1528" t="str">
            <v>09</v>
          </cell>
          <cell r="D1528" t="str">
            <v>08</v>
          </cell>
          <cell r="E1528" t="str">
            <v>512 97 00</v>
          </cell>
          <cell r="F1528" t="str">
            <v>500</v>
          </cell>
        </row>
        <row r="1529">
          <cell r="A1529" t="str">
            <v>Субсидии некоммерческим организациям</v>
          </cell>
          <cell r="B1529" t="str">
            <v>904</v>
          </cell>
          <cell r="C1529" t="str">
            <v>09</v>
          </cell>
          <cell r="D1529" t="str">
            <v>04</v>
          </cell>
          <cell r="E1529" t="str">
            <v>520 18 00</v>
          </cell>
          <cell r="F1529" t="str">
            <v>019</v>
          </cell>
        </row>
        <row r="1530">
          <cell r="A1530" t="str">
            <v>Другие вопросы в области здравоохранения, физической культуры и спорта</v>
          </cell>
          <cell r="B1530" t="str">
            <v>904</v>
          </cell>
          <cell r="C1530" t="str">
            <v>09</v>
          </cell>
          <cell r="D1530" t="str">
            <v>09</v>
          </cell>
          <cell r="E1530" t="str">
            <v>000 00 00</v>
          </cell>
          <cell r="F1530" t="str">
            <v>000</v>
          </cell>
        </row>
        <row r="1531">
          <cell r="A1531" t="str">
            <v>Руководство и управление в сфере установленных функций органов государственной власти субъектов РФ и органов местного самоуправления</v>
          </cell>
          <cell r="B1531" t="str">
            <v>904</v>
          </cell>
          <cell r="C1531" t="str">
            <v>09</v>
          </cell>
          <cell r="D1531" t="str">
            <v>09</v>
          </cell>
          <cell r="E1531" t="str">
            <v>002 00 00</v>
          </cell>
          <cell r="F1531" t="str">
            <v>000</v>
          </cell>
        </row>
        <row r="1532">
          <cell r="A1532" t="str">
            <v>Центральный аппарат</v>
          </cell>
          <cell r="B1532" t="str">
            <v>904</v>
          </cell>
          <cell r="C1532" t="str">
            <v>09</v>
          </cell>
          <cell r="D1532" t="str">
            <v>09</v>
          </cell>
          <cell r="E1532" t="str">
            <v>002 04 00</v>
          </cell>
          <cell r="F1532" t="str">
            <v>000</v>
          </cell>
        </row>
        <row r="1533">
          <cell r="A1533" t="str">
            <v>Выполнение функций органами местного самоуправления</v>
          </cell>
          <cell r="B1533" t="str">
            <v>904</v>
          </cell>
          <cell r="C1533" t="str">
            <v>09</v>
          </cell>
          <cell r="D1533" t="str">
            <v>09</v>
          </cell>
          <cell r="E1533" t="str">
            <v>002 04 00</v>
          </cell>
          <cell r="F1533" t="str">
            <v>500</v>
          </cell>
        </row>
        <row r="1534">
          <cell r="A1534" t="str">
            <v>Расходы</v>
          </cell>
          <cell r="B1534" t="str">
            <v>904</v>
          </cell>
          <cell r="C1534" t="str">
            <v>09</v>
          </cell>
          <cell r="D1534" t="str">
            <v>09</v>
          </cell>
          <cell r="E1534" t="str">
            <v>002 04 00</v>
          </cell>
          <cell r="F1534" t="str">
            <v>500</v>
          </cell>
        </row>
        <row r="1535">
          <cell r="A1535" t="str">
            <v>Оплата труда и начисления на оплату труда</v>
          </cell>
          <cell r="B1535" t="str">
            <v>904</v>
          </cell>
          <cell r="C1535" t="str">
            <v>09</v>
          </cell>
          <cell r="D1535" t="str">
            <v>09</v>
          </cell>
          <cell r="E1535" t="str">
            <v>002 04 00</v>
          </cell>
          <cell r="F1535" t="str">
            <v>500</v>
          </cell>
        </row>
        <row r="1536">
          <cell r="A1536" t="str">
            <v>Заработная плата</v>
          </cell>
          <cell r="B1536" t="str">
            <v>904</v>
          </cell>
          <cell r="C1536" t="str">
            <v>09</v>
          </cell>
          <cell r="D1536" t="str">
            <v>09</v>
          </cell>
          <cell r="E1536" t="str">
            <v>002 04 00</v>
          </cell>
          <cell r="F1536" t="str">
            <v>500</v>
          </cell>
        </row>
        <row r="1537">
          <cell r="A1537" t="str">
            <v>Прочие выплаты</v>
          </cell>
          <cell r="B1537" t="str">
            <v>904</v>
          </cell>
          <cell r="C1537" t="str">
            <v>09</v>
          </cell>
          <cell r="D1537" t="str">
            <v>09</v>
          </cell>
          <cell r="E1537" t="str">
            <v>002 04 00</v>
          </cell>
          <cell r="F1537" t="str">
            <v>500</v>
          </cell>
        </row>
        <row r="1538">
          <cell r="A1538" t="str">
            <v>Начисление на оплату труда</v>
          </cell>
          <cell r="B1538" t="str">
            <v>904</v>
          </cell>
          <cell r="C1538" t="str">
            <v>09</v>
          </cell>
          <cell r="D1538" t="str">
            <v>09</v>
          </cell>
          <cell r="E1538" t="str">
            <v>002 04 00</v>
          </cell>
          <cell r="F1538" t="str">
            <v>500</v>
          </cell>
        </row>
        <row r="1539">
          <cell r="A1539" t="str">
            <v>Приобретение услуг</v>
          </cell>
          <cell r="B1539" t="str">
            <v>904</v>
          </cell>
          <cell r="C1539" t="str">
            <v>09</v>
          </cell>
          <cell r="D1539" t="str">
            <v>09</v>
          </cell>
          <cell r="E1539" t="str">
            <v>002 04 00</v>
          </cell>
          <cell r="F1539" t="str">
            <v>500</v>
          </cell>
        </row>
        <row r="1540">
          <cell r="A1540" t="str">
            <v>Услуги связи </v>
          </cell>
          <cell r="B1540" t="str">
            <v>904</v>
          </cell>
          <cell r="C1540" t="str">
            <v>09</v>
          </cell>
          <cell r="D1540" t="str">
            <v>09</v>
          </cell>
          <cell r="E1540" t="str">
            <v>002 04 00</v>
          </cell>
          <cell r="F1540" t="str">
            <v>500</v>
          </cell>
        </row>
        <row r="1541">
          <cell r="A1541" t="str">
            <v>Транспортные услуги</v>
          </cell>
          <cell r="B1541" t="str">
            <v>904</v>
          </cell>
          <cell r="C1541" t="str">
            <v>09</v>
          </cell>
          <cell r="D1541" t="str">
            <v>09</v>
          </cell>
          <cell r="E1541" t="str">
            <v>002 04 00</v>
          </cell>
          <cell r="F1541" t="str">
            <v>500</v>
          </cell>
        </row>
        <row r="1542">
          <cell r="A1542" t="str">
            <v>Коммунальные услуги</v>
          </cell>
          <cell r="B1542" t="str">
            <v>904</v>
          </cell>
          <cell r="C1542" t="str">
            <v>09</v>
          </cell>
          <cell r="D1542" t="str">
            <v>09</v>
          </cell>
          <cell r="E1542" t="str">
            <v>002 04 00</v>
          </cell>
          <cell r="F1542" t="str">
            <v>500</v>
          </cell>
        </row>
        <row r="1543">
          <cell r="A1543" t="str">
            <v>Арендная плата за пользование иммуществом </v>
          </cell>
          <cell r="B1543" t="str">
            <v>904</v>
          </cell>
          <cell r="C1543" t="str">
            <v>09</v>
          </cell>
          <cell r="D1543" t="str">
            <v>09</v>
          </cell>
          <cell r="E1543" t="str">
            <v>002 04 00</v>
          </cell>
          <cell r="F1543" t="str">
            <v>500</v>
          </cell>
        </row>
        <row r="1544">
          <cell r="A1544" t="str">
            <v>Услуги по содержанию иммущества</v>
          </cell>
          <cell r="B1544" t="str">
            <v>904</v>
          </cell>
          <cell r="C1544" t="str">
            <v>09</v>
          </cell>
          <cell r="D1544" t="str">
            <v>09</v>
          </cell>
          <cell r="E1544" t="str">
            <v>002 04 00</v>
          </cell>
          <cell r="F1544" t="str">
            <v>500</v>
          </cell>
        </row>
        <row r="1545">
          <cell r="A1545" t="str">
            <v>Прочие услуги</v>
          </cell>
          <cell r="B1545" t="str">
            <v>904</v>
          </cell>
          <cell r="C1545" t="str">
            <v>09</v>
          </cell>
          <cell r="D1545" t="str">
            <v>09</v>
          </cell>
          <cell r="E1545" t="str">
            <v>002 04 00</v>
          </cell>
          <cell r="F1545" t="str">
            <v>500</v>
          </cell>
        </row>
        <row r="1546">
          <cell r="A1546" t="str">
            <v>Прочие расходы </v>
          </cell>
          <cell r="B1546" t="str">
            <v>904</v>
          </cell>
          <cell r="C1546" t="str">
            <v>09</v>
          </cell>
          <cell r="D1546" t="str">
            <v>09</v>
          </cell>
          <cell r="E1546" t="str">
            <v>002 04 00</v>
          </cell>
          <cell r="F1546" t="str">
            <v>500</v>
          </cell>
        </row>
        <row r="1547">
          <cell r="A1547" t="str">
            <v>Поступление нефинансовых активов</v>
          </cell>
          <cell r="B1547" t="str">
            <v>904</v>
          </cell>
          <cell r="C1547" t="str">
            <v>09</v>
          </cell>
          <cell r="D1547" t="str">
            <v>09</v>
          </cell>
          <cell r="E1547" t="str">
            <v>002 04 00</v>
          </cell>
          <cell r="F1547" t="str">
            <v>500</v>
          </cell>
        </row>
        <row r="1548">
          <cell r="A1548" t="str">
            <v>Увеличение стоимости основных средств</v>
          </cell>
          <cell r="B1548" t="str">
            <v>904</v>
          </cell>
          <cell r="C1548" t="str">
            <v>09</v>
          </cell>
          <cell r="D1548" t="str">
            <v>09</v>
          </cell>
          <cell r="E1548" t="str">
            <v>002 04 00</v>
          </cell>
          <cell r="F1548" t="str">
            <v>500</v>
          </cell>
        </row>
        <row r="1549">
          <cell r="A1549" t="str">
            <v>Увеличение стоимости материальных запасов</v>
          </cell>
          <cell r="B1549" t="str">
            <v>904</v>
          </cell>
          <cell r="C1549" t="str">
            <v>09</v>
          </cell>
          <cell r="D1549" t="str">
            <v>09</v>
          </cell>
          <cell r="E1549" t="str">
            <v>002 04 00</v>
          </cell>
          <cell r="F1549" t="str">
            <v>500</v>
          </cell>
        </row>
        <row r="1550">
          <cell r="A1550" t="str">
            <v>Оплата труда и начисления на оплату труда</v>
          </cell>
          <cell r="B1550" t="str">
            <v>904</v>
          </cell>
          <cell r="C1550" t="str">
            <v>09</v>
          </cell>
          <cell r="D1550" t="str">
            <v>09</v>
          </cell>
          <cell r="E1550" t="str">
            <v>001 00 00</v>
          </cell>
          <cell r="F1550" t="str">
            <v>005</v>
          </cell>
        </row>
        <row r="1551">
          <cell r="A1551" t="str">
            <v>Заработная плата</v>
          </cell>
          <cell r="B1551" t="str">
            <v>904</v>
          </cell>
          <cell r="C1551" t="str">
            <v>09</v>
          </cell>
          <cell r="D1551" t="str">
            <v>09</v>
          </cell>
          <cell r="E1551" t="str">
            <v>001 00 00</v>
          </cell>
          <cell r="F1551" t="str">
            <v>005</v>
          </cell>
        </row>
        <row r="1552">
          <cell r="A1552" t="str">
            <v>Прочие выплаты</v>
          </cell>
          <cell r="B1552" t="str">
            <v>904</v>
          </cell>
          <cell r="C1552" t="str">
            <v>09</v>
          </cell>
          <cell r="D1552" t="str">
            <v>09</v>
          </cell>
          <cell r="E1552" t="str">
            <v>001 00 00</v>
          </cell>
          <cell r="F1552" t="str">
            <v>005</v>
          </cell>
        </row>
        <row r="1553">
          <cell r="A1553" t="str">
            <v>Начисление на оплату труда</v>
          </cell>
          <cell r="B1553" t="str">
            <v>904</v>
          </cell>
          <cell r="C1553" t="str">
            <v>09</v>
          </cell>
          <cell r="D1553" t="str">
            <v>09</v>
          </cell>
          <cell r="E1553" t="str">
            <v>001 00 00</v>
          </cell>
          <cell r="F1553" t="str">
            <v>005</v>
          </cell>
        </row>
        <row r="1554">
          <cell r="A1554" t="str">
            <v>Приобретение услуг</v>
          </cell>
          <cell r="B1554" t="str">
            <v>904</v>
          </cell>
          <cell r="C1554" t="str">
            <v>09</v>
          </cell>
          <cell r="D1554" t="str">
            <v>09</v>
          </cell>
          <cell r="E1554" t="str">
            <v>001 00 00</v>
          </cell>
          <cell r="F1554" t="str">
            <v>005</v>
          </cell>
        </row>
        <row r="1555">
          <cell r="A1555" t="str">
            <v>Услуги связи </v>
          </cell>
          <cell r="B1555" t="str">
            <v>904</v>
          </cell>
          <cell r="C1555" t="str">
            <v>09</v>
          </cell>
          <cell r="D1555" t="str">
            <v>09</v>
          </cell>
          <cell r="E1555" t="str">
            <v>001 00 00</v>
          </cell>
          <cell r="F1555" t="str">
            <v>005</v>
          </cell>
        </row>
        <row r="1556">
          <cell r="A1556" t="str">
            <v>Транспортные услуги</v>
          </cell>
          <cell r="B1556" t="str">
            <v>904</v>
          </cell>
          <cell r="C1556" t="str">
            <v>09</v>
          </cell>
          <cell r="D1556" t="str">
            <v>09</v>
          </cell>
          <cell r="E1556" t="str">
            <v>001 00 00</v>
          </cell>
          <cell r="F1556" t="str">
            <v>005</v>
          </cell>
        </row>
        <row r="1557">
          <cell r="A1557" t="str">
            <v>Коммунальные услуги</v>
          </cell>
          <cell r="B1557" t="str">
            <v>904</v>
          </cell>
          <cell r="C1557" t="str">
            <v>09</v>
          </cell>
          <cell r="D1557" t="str">
            <v>09</v>
          </cell>
          <cell r="E1557" t="str">
            <v>001 00 00</v>
          </cell>
          <cell r="F1557" t="str">
            <v>005</v>
          </cell>
        </row>
        <row r="1558">
          <cell r="A1558" t="str">
            <v>Арендная плата за пользование иммуществом </v>
          </cell>
          <cell r="B1558" t="str">
            <v>904</v>
          </cell>
          <cell r="C1558" t="str">
            <v>09</v>
          </cell>
          <cell r="D1558" t="str">
            <v>09</v>
          </cell>
          <cell r="E1558" t="str">
            <v>001 00 00</v>
          </cell>
          <cell r="F1558" t="str">
            <v>005</v>
          </cell>
        </row>
        <row r="1559">
          <cell r="A1559" t="str">
            <v>Услуги по содержанию иммущества</v>
          </cell>
          <cell r="B1559" t="str">
            <v>904</v>
          </cell>
          <cell r="C1559" t="str">
            <v>09</v>
          </cell>
          <cell r="D1559" t="str">
            <v>09</v>
          </cell>
          <cell r="E1559" t="str">
            <v>001 00 00</v>
          </cell>
          <cell r="F1559" t="str">
            <v>005</v>
          </cell>
        </row>
        <row r="1560">
          <cell r="A1560" t="str">
            <v>Прочие услуги</v>
          </cell>
          <cell r="B1560" t="str">
            <v>904</v>
          </cell>
          <cell r="C1560" t="str">
            <v>09</v>
          </cell>
          <cell r="D1560" t="str">
            <v>09</v>
          </cell>
          <cell r="E1560" t="str">
            <v>001 00 00</v>
          </cell>
          <cell r="F1560" t="str">
            <v>005</v>
          </cell>
        </row>
        <row r="1561">
          <cell r="A1561" t="str">
            <v>Прочие расходы </v>
          </cell>
          <cell r="B1561" t="str">
            <v>904</v>
          </cell>
          <cell r="C1561" t="str">
            <v>09</v>
          </cell>
          <cell r="D1561" t="str">
            <v>09</v>
          </cell>
          <cell r="E1561" t="str">
            <v>001 00 00</v>
          </cell>
          <cell r="F1561" t="str">
            <v>005</v>
          </cell>
        </row>
        <row r="1562">
          <cell r="A1562" t="str">
            <v>Поступление нефинансовых активов</v>
          </cell>
          <cell r="B1562" t="str">
            <v>904</v>
          </cell>
          <cell r="C1562" t="str">
            <v>09</v>
          </cell>
          <cell r="D1562" t="str">
            <v>09</v>
          </cell>
          <cell r="E1562" t="str">
            <v>001 00 00</v>
          </cell>
          <cell r="F1562" t="str">
            <v>005</v>
          </cell>
        </row>
        <row r="1563">
          <cell r="A1563" t="str">
            <v>Увеличение стоимости основных средств</v>
          </cell>
          <cell r="B1563" t="str">
            <v>904</v>
          </cell>
          <cell r="C1563" t="str">
            <v>09</v>
          </cell>
          <cell r="D1563" t="str">
            <v>09</v>
          </cell>
          <cell r="E1563" t="str">
            <v>001 00 00</v>
          </cell>
          <cell r="F1563" t="str">
            <v>005</v>
          </cell>
        </row>
        <row r="1564">
          <cell r="A1564" t="str">
            <v>Увеличение стоимости материальных запасов</v>
          </cell>
          <cell r="B1564" t="str">
            <v>904</v>
          </cell>
          <cell r="C1564" t="str">
            <v>09</v>
          </cell>
          <cell r="D1564" t="str">
            <v>09</v>
          </cell>
          <cell r="E1564" t="str">
            <v>001 00 00</v>
          </cell>
          <cell r="F1564" t="str">
            <v>005</v>
          </cell>
        </row>
        <row r="1565">
          <cell r="A1565" t="str">
            <v>Межбюджетные трансферты на погашение кредиторской задолженности муниципальных учреждений по страховым взносам в Пенсионный фонд Российской Федерации на обязательное пенсионное страхование, сложившейся за период с 1 января 2001 года до 1 января 2010 года</v>
          </cell>
          <cell r="B1565" t="str">
            <v>904</v>
          </cell>
          <cell r="C1565" t="str">
            <v>09</v>
          </cell>
          <cell r="D1565" t="str">
            <v>09</v>
          </cell>
          <cell r="E1565" t="str">
            <v>603 00 00</v>
          </cell>
          <cell r="F1565" t="str">
            <v>001</v>
          </cell>
        </row>
        <row r="1566">
          <cell r="B1566" t="str">
            <v>905</v>
          </cell>
          <cell r="C1566" t="str">
            <v>08</v>
          </cell>
          <cell r="D1566" t="str">
            <v>04</v>
          </cell>
          <cell r="E1566" t="str">
            <v>603 00 00</v>
          </cell>
          <cell r="F1566" t="str">
            <v>001</v>
          </cell>
        </row>
        <row r="1567">
          <cell r="B1567" t="str">
            <v>905</v>
          </cell>
          <cell r="C1567" t="str">
            <v>08</v>
          </cell>
          <cell r="D1567" t="str">
            <v>04</v>
          </cell>
          <cell r="E1567" t="str">
            <v>603 00 00</v>
          </cell>
          <cell r="F1567" t="str">
            <v>001</v>
          </cell>
        </row>
        <row r="1568">
          <cell r="A1568" t="str">
            <v>Выполнение функций органами местного самоуправления</v>
          </cell>
          <cell r="B1568" t="str">
            <v>904</v>
          </cell>
          <cell r="C1568" t="str">
            <v>09</v>
          </cell>
          <cell r="D1568" t="str">
            <v>09</v>
          </cell>
          <cell r="E1568" t="str">
            <v>603 00 00</v>
          </cell>
          <cell r="F1568" t="str">
            <v>001</v>
          </cell>
        </row>
        <row r="1569">
          <cell r="A1569" t="str">
            <v>Расходы</v>
          </cell>
          <cell r="B1569" t="str">
            <v>904</v>
          </cell>
          <cell r="C1569" t="str">
            <v>09</v>
          </cell>
          <cell r="D1569" t="str">
            <v>09</v>
          </cell>
          <cell r="E1569" t="str">
            <v>603 00 00</v>
          </cell>
          <cell r="F1569" t="str">
            <v>001</v>
          </cell>
        </row>
        <row r="1570">
          <cell r="A1570" t="str">
            <v>Оплата труда и начисления на оплату труда</v>
          </cell>
          <cell r="B1570" t="str">
            <v>904</v>
          </cell>
          <cell r="C1570" t="str">
            <v>09</v>
          </cell>
          <cell r="D1570" t="str">
            <v>09</v>
          </cell>
          <cell r="E1570" t="str">
            <v>603 00 00</v>
          </cell>
          <cell r="F1570" t="str">
            <v>001</v>
          </cell>
        </row>
        <row r="1571">
          <cell r="A1571" t="str">
            <v>Начисление на оплату труда</v>
          </cell>
          <cell r="B1571" t="str">
            <v>904</v>
          </cell>
          <cell r="C1571" t="str">
            <v>09</v>
          </cell>
          <cell r="D1571" t="str">
            <v>09</v>
          </cell>
          <cell r="E1571" t="str">
            <v>603 00 00</v>
          </cell>
          <cell r="F1571" t="str">
            <v>001</v>
          </cell>
        </row>
        <row r="1572">
          <cell r="A1572" t="str">
            <v>Учебно-методические кабинеты, центральные бухгалтерии, группы хоз.обслуживания</v>
          </cell>
          <cell r="B1572" t="str">
            <v>904</v>
          </cell>
          <cell r="C1572" t="str">
            <v>09</v>
          </cell>
          <cell r="D1572" t="str">
            <v>09</v>
          </cell>
          <cell r="E1572" t="str">
            <v>002 00 00</v>
          </cell>
          <cell r="F1572" t="str">
            <v>000</v>
          </cell>
        </row>
        <row r="1573">
          <cell r="A1573" t="str">
            <v>Осуществление отдельных областных государственных полномочий в области охраны здоровья граждан</v>
          </cell>
          <cell r="B1573" t="str">
            <v>904</v>
          </cell>
          <cell r="C1573" t="str">
            <v>09</v>
          </cell>
          <cell r="D1573" t="str">
            <v>09</v>
          </cell>
          <cell r="E1573" t="str">
            <v>002 52 00</v>
          </cell>
          <cell r="F1573" t="str">
            <v>000</v>
          </cell>
        </row>
        <row r="1574">
          <cell r="A1574" t="str">
            <v>Выполнение функций бюджетными учреждениями</v>
          </cell>
          <cell r="B1574" t="str">
            <v>904</v>
          </cell>
          <cell r="C1574" t="str">
            <v>09</v>
          </cell>
          <cell r="D1574" t="str">
            <v>09</v>
          </cell>
          <cell r="E1574" t="str">
            <v>002 52 00</v>
          </cell>
          <cell r="F1574" t="str">
            <v>001</v>
          </cell>
        </row>
        <row r="1575">
          <cell r="A1575" t="str">
            <v>Субсидии некоммерческим организациям</v>
          </cell>
          <cell r="B1575" t="str">
            <v>904</v>
          </cell>
          <cell r="C1575" t="str">
            <v>09</v>
          </cell>
          <cell r="D1575" t="str">
            <v>09</v>
          </cell>
          <cell r="E1575" t="str">
            <v>002 52 00</v>
          </cell>
          <cell r="F1575" t="str">
            <v>019</v>
          </cell>
        </row>
        <row r="1576">
          <cell r="A1576" t="str">
            <v>Учебно-методические кабинеты, центральные бухгалтерии, группы хоз.обслуживания</v>
          </cell>
          <cell r="B1576" t="str">
            <v>904</v>
          </cell>
          <cell r="C1576" t="str">
            <v>09</v>
          </cell>
          <cell r="D1576" t="str">
            <v>09</v>
          </cell>
          <cell r="E1576" t="str">
            <v>452 00 00</v>
          </cell>
          <cell r="F1576" t="str">
            <v>000</v>
          </cell>
        </row>
        <row r="1577">
          <cell r="A1577" t="str">
            <v>Обеспечение деятельности подведомственных учреждений</v>
          </cell>
          <cell r="B1577" t="str">
            <v>904</v>
          </cell>
          <cell r="C1577" t="str">
            <v>09</v>
          </cell>
          <cell r="D1577" t="str">
            <v>09</v>
          </cell>
          <cell r="E1577" t="str">
            <v>452 99 00</v>
          </cell>
          <cell r="F1577" t="str">
            <v>000</v>
          </cell>
        </row>
        <row r="1578">
          <cell r="A1578" t="str">
            <v>Выполнение функций бюджетными учреждениями</v>
          </cell>
          <cell r="B1578" t="str">
            <v>904</v>
          </cell>
          <cell r="C1578" t="str">
            <v>09</v>
          </cell>
          <cell r="D1578" t="str">
            <v>09</v>
          </cell>
          <cell r="E1578" t="str">
            <v>452 99 00</v>
          </cell>
          <cell r="F1578" t="str">
            <v>001</v>
          </cell>
        </row>
        <row r="1579">
          <cell r="A1579" t="str">
            <v>Расходы</v>
          </cell>
          <cell r="B1579" t="str">
            <v>904</v>
          </cell>
          <cell r="C1579" t="str">
            <v>09</v>
          </cell>
          <cell r="D1579" t="str">
            <v>09</v>
          </cell>
          <cell r="E1579" t="str">
            <v>452 99 00</v>
          </cell>
          <cell r="F1579" t="str">
            <v>001</v>
          </cell>
        </row>
        <row r="1580">
          <cell r="A1580" t="str">
            <v>Оплата труда и начисления на оплату труда</v>
          </cell>
          <cell r="B1580" t="str">
            <v>904</v>
          </cell>
          <cell r="C1580" t="str">
            <v>09</v>
          </cell>
          <cell r="D1580" t="str">
            <v>09</v>
          </cell>
          <cell r="E1580" t="str">
            <v>452 99 00</v>
          </cell>
          <cell r="F1580" t="str">
            <v>001</v>
          </cell>
        </row>
        <row r="1581">
          <cell r="A1581" t="str">
            <v>Заработная плата</v>
          </cell>
          <cell r="B1581" t="str">
            <v>904</v>
          </cell>
          <cell r="C1581" t="str">
            <v>09</v>
          </cell>
          <cell r="D1581" t="str">
            <v>09</v>
          </cell>
          <cell r="E1581" t="str">
            <v>452 99 00</v>
          </cell>
          <cell r="F1581" t="str">
            <v>001</v>
          </cell>
        </row>
        <row r="1582">
          <cell r="A1582" t="str">
            <v>Прочие выплаты</v>
          </cell>
          <cell r="B1582" t="str">
            <v>904</v>
          </cell>
          <cell r="C1582" t="str">
            <v>09</v>
          </cell>
          <cell r="D1582" t="str">
            <v>09</v>
          </cell>
          <cell r="E1582" t="str">
            <v>452 99 00</v>
          </cell>
          <cell r="F1582" t="str">
            <v>001</v>
          </cell>
        </row>
        <row r="1583">
          <cell r="A1583" t="str">
            <v>Начисление на оплату труда</v>
          </cell>
          <cell r="B1583" t="str">
            <v>904</v>
          </cell>
          <cell r="C1583" t="str">
            <v>09</v>
          </cell>
          <cell r="D1583" t="str">
            <v>09</v>
          </cell>
          <cell r="E1583" t="str">
            <v>452 99 00</v>
          </cell>
          <cell r="F1583" t="str">
            <v>001</v>
          </cell>
        </row>
        <row r="1584">
          <cell r="A1584" t="str">
            <v>Приобретение услуг</v>
          </cell>
          <cell r="B1584" t="str">
            <v>904</v>
          </cell>
          <cell r="C1584" t="str">
            <v>09</v>
          </cell>
          <cell r="D1584" t="str">
            <v>09</v>
          </cell>
          <cell r="E1584" t="str">
            <v>452 99 00</v>
          </cell>
          <cell r="F1584" t="str">
            <v>001</v>
          </cell>
        </row>
        <row r="1585">
          <cell r="A1585" t="str">
            <v>Услуги связи </v>
          </cell>
          <cell r="B1585" t="str">
            <v>904</v>
          </cell>
          <cell r="C1585" t="str">
            <v>09</v>
          </cell>
          <cell r="D1585" t="str">
            <v>09</v>
          </cell>
          <cell r="E1585" t="str">
            <v>452 99 00</v>
          </cell>
          <cell r="F1585" t="str">
            <v>001</v>
          </cell>
        </row>
        <row r="1586">
          <cell r="A1586" t="str">
            <v>Транспортные услуги</v>
          </cell>
          <cell r="B1586" t="str">
            <v>904</v>
          </cell>
          <cell r="C1586" t="str">
            <v>09</v>
          </cell>
          <cell r="D1586" t="str">
            <v>09</v>
          </cell>
          <cell r="E1586" t="str">
            <v>452 99 00</v>
          </cell>
          <cell r="F1586" t="str">
            <v>001</v>
          </cell>
        </row>
        <row r="1587">
          <cell r="A1587" t="str">
            <v>Коммунальные услуги</v>
          </cell>
          <cell r="B1587" t="str">
            <v>904</v>
          </cell>
          <cell r="C1587" t="str">
            <v>09</v>
          </cell>
          <cell r="D1587" t="str">
            <v>09</v>
          </cell>
          <cell r="E1587" t="str">
            <v>452 99 00</v>
          </cell>
          <cell r="F1587" t="str">
            <v>001</v>
          </cell>
        </row>
        <row r="1588">
          <cell r="A1588" t="str">
            <v>Арендная плата за пользование иммуществом </v>
          </cell>
          <cell r="B1588" t="str">
            <v>904</v>
          </cell>
          <cell r="C1588" t="str">
            <v>09</v>
          </cell>
          <cell r="D1588" t="str">
            <v>09</v>
          </cell>
          <cell r="E1588" t="str">
            <v>452 99 00</v>
          </cell>
          <cell r="F1588" t="str">
            <v>001</v>
          </cell>
        </row>
        <row r="1589">
          <cell r="A1589" t="str">
            <v>Услуги по содержанию иммущества</v>
          </cell>
          <cell r="B1589" t="str">
            <v>904</v>
          </cell>
          <cell r="C1589" t="str">
            <v>09</v>
          </cell>
          <cell r="D1589" t="str">
            <v>09</v>
          </cell>
          <cell r="E1589" t="str">
            <v>452 99 00</v>
          </cell>
          <cell r="F1589" t="str">
            <v>001</v>
          </cell>
        </row>
        <row r="1590">
          <cell r="A1590" t="str">
            <v>Прочие услуги</v>
          </cell>
          <cell r="B1590" t="str">
            <v>904</v>
          </cell>
          <cell r="C1590" t="str">
            <v>09</v>
          </cell>
          <cell r="D1590" t="str">
            <v>09</v>
          </cell>
          <cell r="E1590" t="str">
            <v>452 99 00</v>
          </cell>
          <cell r="F1590" t="str">
            <v>001</v>
          </cell>
        </row>
        <row r="1591">
          <cell r="A1591" t="str">
            <v>Прочие расходы </v>
          </cell>
          <cell r="B1591" t="str">
            <v>904</v>
          </cell>
          <cell r="C1591" t="str">
            <v>09</v>
          </cell>
          <cell r="D1591" t="str">
            <v>09</v>
          </cell>
          <cell r="E1591" t="str">
            <v>452 99 00</v>
          </cell>
          <cell r="F1591" t="str">
            <v>001</v>
          </cell>
        </row>
        <row r="1592">
          <cell r="A1592" t="str">
            <v>Поступление нефинансовых активов</v>
          </cell>
          <cell r="B1592" t="str">
            <v>904</v>
          </cell>
          <cell r="C1592" t="str">
            <v>09</v>
          </cell>
          <cell r="D1592" t="str">
            <v>09</v>
          </cell>
          <cell r="E1592" t="str">
            <v>452 99 00</v>
          </cell>
          <cell r="F1592" t="str">
            <v>001</v>
          </cell>
        </row>
        <row r="1593">
          <cell r="A1593" t="str">
            <v>Увеличение стоимости основных средств</v>
          </cell>
          <cell r="B1593" t="str">
            <v>904</v>
          </cell>
          <cell r="C1593" t="str">
            <v>09</v>
          </cell>
          <cell r="D1593" t="str">
            <v>09</v>
          </cell>
          <cell r="E1593" t="str">
            <v>452 99 00</v>
          </cell>
          <cell r="F1593" t="str">
            <v>001</v>
          </cell>
        </row>
        <row r="1594">
          <cell r="A1594" t="str">
            <v>Увеличение стоимости материальных запасов</v>
          </cell>
          <cell r="B1594" t="str">
            <v>904</v>
          </cell>
          <cell r="C1594" t="str">
            <v>09</v>
          </cell>
          <cell r="D1594" t="str">
            <v>09</v>
          </cell>
          <cell r="E1594" t="str">
            <v>452 99 00</v>
          </cell>
          <cell r="F1594" t="str">
            <v>001</v>
          </cell>
        </row>
        <row r="1595">
          <cell r="A1595" t="str">
            <v>Региональные целевые программы</v>
          </cell>
          <cell r="B1595" t="str">
            <v>901</v>
          </cell>
          <cell r="C1595" t="str">
            <v>09</v>
          </cell>
          <cell r="D1595" t="str">
            <v>09</v>
          </cell>
          <cell r="E1595" t="str">
            <v>522 00 00</v>
          </cell>
          <cell r="F1595" t="str">
            <v>000</v>
          </cell>
        </row>
        <row r="1596">
          <cell r="A1596" t="str">
            <v>Мероприятия в области здравоохранения, спорта и физической культуры </v>
          </cell>
          <cell r="B1596" t="str">
            <v>901</v>
          </cell>
          <cell r="C1596" t="str">
            <v>09</v>
          </cell>
          <cell r="D1596" t="str">
            <v>09</v>
          </cell>
          <cell r="E1596" t="str">
            <v>522 00 00</v>
          </cell>
          <cell r="F1596" t="str">
            <v>455</v>
          </cell>
        </row>
        <row r="1597">
          <cell r="A1597" t="str">
            <v>Увеличение стоимости основных средств</v>
          </cell>
          <cell r="B1597" t="str">
            <v>901</v>
          </cell>
          <cell r="C1597" t="str">
            <v>09</v>
          </cell>
          <cell r="D1597" t="str">
            <v>09</v>
          </cell>
          <cell r="E1597" t="str">
            <v>522 00 00</v>
          </cell>
          <cell r="F1597" t="str">
            <v>455</v>
          </cell>
        </row>
        <row r="1598">
          <cell r="A1598" t="str">
            <v>Региональные целевые программы Развитие  села</v>
          </cell>
          <cell r="B1598" t="str">
            <v>904</v>
          </cell>
          <cell r="C1598" t="str">
            <v>09</v>
          </cell>
          <cell r="D1598" t="str">
            <v>09</v>
          </cell>
          <cell r="E1598" t="str">
            <v>522 00 00</v>
          </cell>
          <cell r="F1598" t="str">
            <v>000</v>
          </cell>
        </row>
        <row r="1599">
          <cell r="A1599" t="str">
            <v>Мероприятия в области здравоохранения, спорта и физической культуры </v>
          </cell>
          <cell r="B1599" t="str">
            <v>904</v>
          </cell>
          <cell r="C1599" t="str">
            <v>09</v>
          </cell>
          <cell r="D1599" t="str">
            <v>09</v>
          </cell>
          <cell r="E1599" t="str">
            <v>522 18 00</v>
          </cell>
          <cell r="F1599" t="str">
            <v>000</v>
          </cell>
        </row>
        <row r="1600">
          <cell r="A1600" t="str">
            <v>Услуги по содержанию иммущества</v>
          </cell>
          <cell r="B1600" t="str">
            <v>904</v>
          </cell>
          <cell r="C1600" t="str">
            <v>09</v>
          </cell>
          <cell r="D1600" t="str">
            <v>09</v>
          </cell>
          <cell r="E1600" t="str">
            <v>522 18 00</v>
          </cell>
          <cell r="F1600" t="str">
            <v>079</v>
          </cell>
        </row>
        <row r="1601">
          <cell r="A1601" t="str">
            <v>Увеличение стоимости основных средств</v>
          </cell>
          <cell r="B1601" t="str">
            <v>904</v>
          </cell>
          <cell r="C1601" t="str">
            <v>09</v>
          </cell>
          <cell r="D1601" t="str">
            <v>09</v>
          </cell>
          <cell r="E1601" t="str">
            <v>522 18 00</v>
          </cell>
          <cell r="F1601" t="str">
            <v>079</v>
          </cell>
        </row>
        <row r="1602">
          <cell r="A1602" t="str">
            <v>Увеличение стоимости основных средств</v>
          </cell>
          <cell r="B1602" t="str">
            <v>904</v>
          </cell>
          <cell r="C1602" t="str">
            <v>09</v>
          </cell>
          <cell r="D1602" t="str">
            <v>09</v>
          </cell>
          <cell r="E1602" t="str">
            <v>522 18 00</v>
          </cell>
          <cell r="F1602" t="str">
            <v>079</v>
          </cell>
        </row>
        <row r="1603">
          <cell r="A1603" t="str">
            <v>Увеличение стоимости материальных запасов</v>
          </cell>
          <cell r="B1603" t="str">
            <v>904</v>
          </cell>
          <cell r="C1603" t="str">
            <v>09</v>
          </cell>
          <cell r="D1603" t="str">
            <v>09</v>
          </cell>
          <cell r="E1603" t="str">
            <v>522 18 00</v>
          </cell>
          <cell r="F1603" t="str">
            <v>079</v>
          </cell>
        </row>
        <row r="1604">
          <cell r="A1604" t="str">
            <v>Субсидии некоммерческим организациям</v>
          </cell>
          <cell r="B1604" t="str">
            <v>904</v>
          </cell>
          <cell r="C1604" t="str">
            <v>09</v>
          </cell>
          <cell r="D1604" t="str">
            <v>09</v>
          </cell>
          <cell r="E1604" t="str">
            <v>452 99 00</v>
          </cell>
          <cell r="F1604" t="str">
            <v>019</v>
          </cell>
        </row>
        <row r="1605">
          <cell r="A1605" t="str">
            <v>Учреждения, обеспечивающие предоставление услуг в сфере здравоохранения</v>
          </cell>
          <cell r="B1605" t="str">
            <v>904</v>
          </cell>
          <cell r="C1605" t="str">
            <v>09</v>
          </cell>
          <cell r="D1605" t="str">
            <v>09</v>
          </cell>
          <cell r="E1605" t="str">
            <v>469 00 00</v>
          </cell>
          <cell r="F1605" t="str">
            <v>000</v>
          </cell>
        </row>
        <row r="1606">
          <cell r="A1606" t="str">
            <v>Обеспечение деятельности подведомственных учреждений</v>
          </cell>
          <cell r="B1606" t="str">
            <v>904</v>
          </cell>
          <cell r="C1606" t="str">
            <v>09</v>
          </cell>
          <cell r="D1606" t="str">
            <v>09</v>
          </cell>
          <cell r="E1606" t="str">
            <v>469 99 00</v>
          </cell>
          <cell r="F1606" t="str">
            <v>000</v>
          </cell>
        </row>
        <row r="1607">
          <cell r="A1607" t="str">
            <v>Выполнение функций бюджетными учреждениями</v>
          </cell>
          <cell r="B1607" t="str">
            <v>904</v>
          </cell>
          <cell r="C1607" t="str">
            <v>09</v>
          </cell>
          <cell r="D1607" t="str">
            <v>09</v>
          </cell>
          <cell r="E1607" t="str">
            <v>469 99 00</v>
          </cell>
          <cell r="F1607" t="str">
            <v>001</v>
          </cell>
        </row>
        <row r="1608">
          <cell r="A1608" t="str">
            <v>Реализация региональных программ модернизации здравоохранения субъектов РФ и программ модернизации федеральных государственных учреждений</v>
          </cell>
          <cell r="B1608" t="str">
            <v>904</v>
          </cell>
          <cell r="C1608" t="str">
            <v>09</v>
          </cell>
          <cell r="D1608" t="str">
            <v>09</v>
          </cell>
          <cell r="E1608" t="str">
            <v>096 00 00</v>
          </cell>
          <cell r="F1608" t="str">
            <v>000</v>
          </cell>
        </row>
        <row r="1609">
          <cell r="A1609" t="str">
            <v>Реализация программ модернизации здравоохранения субъектов РФ в части укрепления материально-технической базы медицинских учреждений</v>
          </cell>
          <cell r="B1609" t="str">
            <v>904</v>
          </cell>
          <cell r="C1609" t="str">
            <v>09</v>
          </cell>
          <cell r="D1609" t="str">
            <v>09</v>
          </cell>
          <cell r="E1609" t="str">
            <v>096 01 00</v>
          </cell>
          <cell r="F1609" t="str">
            <v>000</v>
          </cell>
        </row>
        <row r="1610">
          <cell r="A1610" t="str">
            <v>Реализация программ модернизации здравоохранения субъектов РФ в части укрепления материально-технической базы медицинских учреждений за счет средств бюджета территориального фонда обязательного медицинского страхования граждан Иркутской области</v>
          </cell>
          <cell r="B1610" t="str">
            <v>904</v>
          </cell>
          <cell r="C1610" t="str">
            <v>09</v>
          </cell>
          <cell r="D1610" t="str">
            <v>09</v>
          </cell>
          <cell r="E1610" t="str">
            <v>096 01 01</v>
          </cell>
          <cell r="F1610" t="str">
            <v>000</v>
          </cell>
        </row>
        <row r="1611">
          <cell r="A1611" t="str">
            <v>Выполнение функций бюджетными учреждениями</v>
          </cell>
          <cell r="B1611" t="str">
            <v>904</v>
          </cell>
          <cell r="C1611" t="str">
            <v>09</v>
          </cell>
          <cell r="D1611" t="str">
            <v>09</v>
          </cell>
          <cell r="E1611" t="str">
            <v>096 01 01</v>
          </cell>
          <cell r="F1611" t="str">
            <v>001</v>
          </cell>
        </row>
        <row r="1614">
          <cell r="A1614" t="str">
            <v>Учреждения, обеспечивающие предоставление услуг в сфере здравоохранения</v>
          </cell>
          <cell r="B1614" t="str">
            <v>904</v>
          </cell>
          <cell r="C1614" t="str">
            <v>09</v>
          </cell>
          <cell r="D1614" t="str">
            <v>09</v>
          </cell>
          <cell r="E1614" t="str">
            <v>469 00 00</v>
          </cell>
          <cell r="F1614" t="str">
            <v>000</v>
          </cell>
        </row>
        <row r="1615">
          <cell r="A1615" t="str">
            <v>Обеспечение деятельности подведомственных учреждений</v>
          </cell>
          <cell r="B1615" t="str">
            <v>904</v>
          </cell>
          <cell r="C1615" t="str">
            <v>09</v>
          </cell>
          <cell r="D1615" t="str">
            <v>09</v>
          </cell>
          <cell r="E1615" t="str">
            <v>469 99 00</v>
          </cell>
          <cell r="F1615" t="str">
            <v>000</v>
          </cell>
        </row>
        <row r="1616">
          <cell r="A1616" t="str">
            <v>Выполнение функций бюджетными учреждениями</v>
          </cell>
          <cell r="B1616" t="str">
            <v>904</v>
          </cell>
          <cell r="C1616" t="str">
            <v>09</v>
          </cell>
          <cell r="D1616" t="str">
            <v>09</v>
          </cell>
          <cell r="E1616" t="str">
            <v>469 99 00</v>
          </cell>
          <cell r="F1616" t="str">
            <v>001</v>
          </cell>
        </row>
        <row r="1617">
          <cell r="A1617" t="str">
            <v>Расходы</v>
          </cell>
          <cell r="B1617" t="str">
            <v>904</v>
          </cell>
          <cell r="C1617" t="str">
            <v>09</v>
          </cell>
          <cell r="D1617" t="str">
            <v>09</v>
          </cell>
          <cell r="E1617" t="str">
            <v>469 99 00</v>
          </cell>
          <cell r="F1617" t="str">
            <v>001</v>
          </cell>
        </row>
        <row r="1618">
          <cell r="A1618" t="str">
            <v>Приобретение услуг</v>
          </cell>
          <cell r="B1618" t="str">
            <v>904</v>
          </cell>
          <cell r="C1618" t="str">
            <v>09</v>
          </cell>
          <cell r="D1618" t="str">
            <v>09</v>
          </cell>
          <cell r="E1618" t="str">
            <v>469 99 00</v>
          </cell>
          <cell r="F1618" t="str">
            <v>001</v>
          </cell>
        </row>
        <row r="1619">
          <cell r="A1619" t="str">
            <v>Прочие услуги</v>
          </cell>
          <cell r="B1619" t="str">
            <v>904</v>
          </cell>
          <cell r="C1619" t="str">
            <v>09</v>
          </cell>
          <cell r="D1619" t="str">
            <v>09</v>
          </cell>
          <cell r="E1619" t="str">
            <v>469 99 00</v>
          </cell>
          <cell r="F1619" t="str">
            <v>001</v>
          </cell>
        </row>
        <row r="1620">
          <cell r="A1620" t="str">
            <v>Реализация программ модернизации здравоохранения субъектов РФ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 за счет средств областного бюджета</v>
          </cell>
          <cell r="B1620" t="str">
            <v>904</v>
          </cell>
          <cell r="C1620" t="str">
            <v>09</v>
          </cell>
          <cell r="D1620" t="str">
            <v>09</v>
          </cell>
          <cell r="E1620" t="str">
            <v>096 01 02</v>
          </cell>
          <cell r="F1620" t="str">
            <v>000</v>
          </cell>
        </row>
        <row r="1621">
          <cell r="A1621" t="str">
            <v>Выполнение функций бюджетными учреждениями</v>
          </cell>
          <cell r="B1621" t="str">
            <v>904</v>
          </cell>
          <cell r="C1621" t="str">
            <v>09</v>
          </cell>
          <cell r="D1621" t="str">
            <v>09</v>
          </cell>
          <cell r="E1621" t="str">
            <v>096 01 02</v>
          </cell>
          <cell r="F1621" t="str">
            <v>001</v>
          </cell>
        </row>
        <row r="1624">
          <cell r="A1624" t="str">
            <v>Целевые программы муниципальных образований </v>
          </cell>
          <cell r="B1624" t="str">
            <v>904</v>
          </cell>
          <cell r="C1624" t="str">
            <v>09</v>
          </cell>
          <cell r="D1624" t="str">
            <v>09</v>
          </cell>
          <cell r="E1624" t="str">
            <v>795 00 00</v>
          </cell>
          <cell r="F1624" t="str">
            <v>000</v>
          </cell>
        </row>
        <row r="1625">
          <cell r="A1625" t="str">
            <v>Выполнение функций органами местного самоуправления</v>
          </cell>
          <cell r="B1625" t="str">
            <v>904</v>
          </cell>
          <cell r="C1625" t="str">
            <v>09</v>
          </cell>
          <cell r="D1625" t="str">
            <v>09</v>
          </cell>
          <cell r="E1625" t="str">
            <v>795 00 00</v>
          </cell>
          <cell r="F1625" t="str">
            <v>500</v>
          </cell>
        </row>
        <row r="1626">
          <cell r="A1626" t="str">
            <v>АНТИ-ВИЧ\СПИД на2012- 2015 г</v>
          </cell>
          <cell r="B1626" t="str">
            <v>904</v>
          </cell>
          <cell r="C1626" t="str">
            <v>09</v>
          </cell>
          <cell r="D1626" t="str">
            <v>09</v>
          </cell>
          <cell r="E1626" t="str">
            <v>795 11 00</v>
          </cell>
          <cell r="F1626" t="str">
            <v>000</v>
          </cell>
        </row>
        <row r="1627">
          <cell r="A1627" t="str">
            <v>Выполнение функций органами местного самоуправления</v>
          </cell>
          <cell r="B1627" t="str">
            <v>904</v>
          </cell>
          <cell r="C1627" t="str">
            <v>09</v>
          </cell>
          <cell r="D1627" t="str">
            <v>09</v>
          </cell>
          <cell r="E1627" t="str">
            <v>795 11 00</v>
          </cell>
          <cell r="F1627" t="str">
            <v>500</v>
          </cell>
        </row>
        <row r="1628">
          <cell r="A1628" t="str">
            <v>"Безопасное материнство на 2009-2013 гг"</v>
          </cell>
          <cell r="B1628" t="str">
            <v>904</v>
          </cell>
          <cell r="C1628" t="str">
            <v>09</v>
          </cell>
          <cell r="D1628" t="str">
            <v>09</v>
          </cell>
          <cell r="E1628" t="str">
            <v>795 13 00</v>
          </cell>
          <cell r="F1628" t="str">
            <v>000</v>
          </cell>
        </row>
        <row r="1629">
          <cell r="A1629" t="str">
            <v>Выполнение функций органами местного самоуправления</v>
          </cell>
          <cell r="B1629" t="str">
            <v>904</v>
          </cell>
          <cell r="C1629" t="str">
            <v>09</v>
          </cell>
          <cell r="D1629" t="str">
            <v>09</v>
          </cell>
          <cell r="E1629" t="str">
            <v>795 13 00</v>
          </cell>
          <cell r="F1629" t="str">
            <v>500</v>
          </cell>
        </row>
        <row r="1630">
          <cell r="A1630" t="str">
            <v>"Предупреждение и борьба  с туберкулезом , совершенствование стратегий и тактики организации противотуберкулезных мероприятий в Усольском районе в 2011-2012 гг"</v>
          </cell>
          <cell r="B1630" t="str">
            <v>904</v>
          </cell>
          <cell r="C1630" t="str">
            <v>09</v>
          </cell>
          <cell r="D1630" t="str">
            <v>09</v>
          </cell>
          <cell r="E1630" t="str">
            <v>795 14 00</v>
          </cell>
          <cell r="F1630" t="str">
            <v>000</v>
          </cell>
        </row>
        <row r="1631">
          <cell r="A1631" t="str">
            <v>Выполнение функций органами местного самоуправления</v>
          </cell>
          <cell r="B1631" t="str">
            <v>904</v>
          </cell>
          <cell r="C1631" t="str">
            <v>09</v>
          </cell>
          <cell r="D1631" t="str">
            <v>09</v>
          </cell>
          <cell r="E1631" t="str">
            <v>795 14 00</v>
          </cell>
          <cell r="F1631" t="str">
            <v>500</v>
          </cell>
        </row>
        <row r="1632">
          <cell r="A1632" t="str">
            <v>"Профилактика и  лечение артериальной гипертонии  на 2010-2012 гг"</v>
          </cell>
          <cell r="B1632" t="str">
            <v>904</v>
          </cell>
          <cell r="C1632" t="str">
            <v>09</v>
          </cell>
          <cell r="D1632" t="str">
            <v>09</v>
          </cell>
          <cell r="E1632" t="str">
            <v>795 15 00</v>
          </cell>
          <cell r="F1632" t="str">
            <v>000</v>
          </cell>
        </row>
        <row r="1633">
          <cell r="A1633" t="str">
            <v>Выполнение функций органами местного самоуправления</v>
          </cell>
          <cell r="B1633" t="str">
            <v>904</v>
          </cell>
          <cell r="C1633" t="str">
            <v>09</v>
          </cell>
          <cell r="D1633" t="str">
            <v>09</v>
          </cell>
          <cell r="E1633" t="str">
            <v>795 15 00</v>
          </cell>
          <cell r="F1633" t="str">
            <v>500</v>
          </cell>
        </row>
        <row r="1634">
          <cell r="A1634" t="str">
            <v>"Обеспечение санитарно-эпидимиологического благополучия  населения УРМО  на 2011-2013 г"</v>
          </cell>
          <cell r="B1634" t="str">
            <v>904</v>
          </cell>
          <cell r="C1634" t="str">
            <v>09</v>
          </cell>
          <cell r="D1634" t="str">
            <v>09</v>
          </cell>
          <cell r="E1634" t="str">
            <v>795 16 00</v>
          </cell>
          <cell r="F1634" t="str">
            <v>000</v>
          </cell>
        </row>
        <row r="1635">
          <cell r="A1635" t="str">
            <v>Выполнение функций органами местного самоуправления</v>
          </cell>
          <cell r="B1635" t="str">
            <v>904</v>
          </cell>
          <cell r="C1635" t="str">
            <v>09</v>
          </cell>
          <cell r="D1635" t="str">
            <v>09</v>
          </cell>
          <cell r="E1635" t="str">
            <v>795 16 00</v>
          </cell>
          <cell r="F1635" t="str">
            <v>500</v>
          </cell>
        </row>
        <row r="1636">
          <cell r="A1636" t="str">
            <v>Демографическое развитие УРМО на 2009-2012 гг</v>
          </cell>
          <cell r="B1636" t="str">
            <v>904</v>
          </cell>
          <cell r="C1636" t="str">
            <v>09</v>
          </cell>
          <cell r="D1636" t="str">
            <v>09</v>
          </cell>
          <cell r="E1636" t="str">
            <v>795 31 00</v>
          </cell>
          <cell r="F1636" t="str">
            <v>000</v>
          </cell>
        </row>
        <row r="1637">
          <cell r="A1637" t="str">
            <v>Выполнение функций органами местного самоуправления</v>
          </cell>
          <cell r="B1637" t="str">
            <v>904</v>
          </cell>
          <cell r="C1637" t="str">
            <v>09</v>
          </cell>
          <cell r="D1637" t="str">
            <v>09</v>
          </cell>
          <cell r="E1637" t="str">
            <v>795 31 00</v>
          </cell>
          <cell r="F1637" t="str">
            <v>500</v>
          </cell>
        </row>
        <row r="1638">
          <cell r="A1638" t="str">
            <v>Услуги по содержанию иммущества</v>
          </cell>
          <cell r="B1638" t="str">
            <v>904</v>
          </cell>
          <cell r="C1638" t="str">
            <v>09</v>
          </cell>
          <cell r="D1638" t="str">
            <v>09</v>
          </cell>
          <cell r="E1638" t="str">
            <v>795 00 00</v>
          </cell>
          <cell r="F1638" t="str">
            <v>500</v>
          </cell>
        </row>
        <row r="1639">
          <cell r="A1639" t="str">
            <v>Прочие услуги</v>
          </cell>
          <cell r="B1639" t="str">
            <v>904</v>
          </cell>
          <cell r="C1639" t="str">
            <v>09</v>
          </cell>
          <cell r="D1639" t="str">
            <v>09</v>
          </cell>
          <cell r="E1639" t="str">
            <v>795 00 00</v>
          </cell>
          <cell r="F1639" t="str">
            <v>500</v>
          </cell>
        </row>
        <row r="1640">
          <cell r="A1640" t="str">
            <v>Услуги по содержанию иммущества</v>
          </cell>
          <cell r="B1640" t="str">
            <v>904</v>
          </cell>
          <cell r="C1640" t="str">
            <v>09</v>
          </cell>
          <cell r="D1640" t="str">
            <v>09</v>
          </cell>
          <cell r="E1640" t="str">
            <v>795 16 00</v>
          </cell>
          <cell r="F1640" t="str">
            <v>500</v>
          </cell>
        </row>
        <row r="1641">
          <cell r="A1641" t="str">
            <v>Прочие услуги</v>
          </cell>
          <cell r="B1641" t="str">
            <v>904</v>
          </cell>
          <cell r="C1641" t="str">
            <v>09</v>
          </cell>
          <cell r="D1641" t="str">
            <v>09</v>
          </cell>
          <cell r="E1641" t="str">
            <v>795 11 00</v>
          </cell>
          <cell r="F1641" t="str">
            <v>500</v>
          </cell>
        </row>
        <row r="1642">
          <cell r="A1642" t="str">
            <v>Прочие услуги</v>
          </cell>
          <cell r="B1642" t="str">
            <v>904</v>
          </cell>
          <cell r="C1642" t="str">
            <v>09</v>
          </cell>
          <cell r="D1642" t="str">
            <v>09</v>
          </cell>
          <cell r="E1642" t="str">
            <v>795 12 00</v>
          </cell>
          <cell r="F1642" t="str">
            <v>500</v>
          </cell>
        </row>
        <row r="1643">
          <cell r="A1643" t="str">
            <v>Прочие услуги</v>
          </cell>
          <cell r="B1643" t="str">
            <v>904</v>
          </cell>
          <cell r="C1643" t="str">
            <v>09</v>
          </cell>
          <cell r="D1643" t="str">
            <v>09</v>
          </cell>
          <cell r="E1643" t="str">
            <v>795 13 00</v>
          </cell>
          <cell r="F1643" t="str">
            <v>500</v>
          </cell>
        </row>
        <row r="1644">
          <cell r="A1644" t="str">
            <v>Прочие услуги</v>
          </cell>
          <cell r="B1644" t="str">
            <v>904</v>
          </cell>
          <cell r="C1644" t="str">
            <v>09</v>
          </cell>
          <cell r="D1644" t="str">
            <v>09</v>
          </cell>
          <cell r="E1644" t="str">
            <v>795 14 00</v>
          </cell>
          <cell r="F1644" t="str">
            <v>500</v>
          </cell>
        </row>
        <row r="1645">
          <cell r="A1645" t="str">
            <v>Прочие услуги</v>
          </cell>
          <cell r="B1645" t="str">
            <v>904</v>
          </cell>
          <cell r="C1645" t="str">
            <v>09</v>
          </cell>
          <cell r="D1645" t="str">
            <v>09</v>
          </cell>
          <cell r="E1645" t="str">
            <v>795 15 00</v>
          </cell>
          <cell r="F1645" t="str">
            <v>500</v>
          </cell>
        </row>
        <row r="1646">
          <cell r="A1646" t="str">
            <v>Прочие услуги</v>
          </cell>
          <cell r="B1646" t="str">
            <v>904</v>
          </cell>
          <cell r="C1646" t="str">
            <v>09</v>
          </cell>
          <cell r="D1646" t="str">
            <v>09</v>
          </cell>
          <cell r="E1646" t="str">
            <v>795 31 00</v>
          </cell>
          <cell r="F1646" t="str">
            <v>500</v>
          </cell>
        </row>
        <row r="1647">
          <cell r="A1647" t="str">
            <v>Поступление нефинансовых активов</v>
          </cell>
          <cell r="B1647" t="str">
            <v>904</v>
          </cell>
          <cell r="C1647" t="str">
            <v>09</v>
          </cell>
          <cell r="D1647" t="str">
            <v>09</v>
          </cell>
          <cell r="E1647" t="str">
            <v>795 31 00</v>
          </cell>
          <cell r="F1647" t="str">
            <v>500</v>
          </cell>
        </row>
        <row r="1648">
          <cell r="A1648" t="str">
            <v>Увеличение стоимости материальных запасов</v>
          </cell>
          <cell r="B1648" t="str">
            <v>904</v>
          </cell>
          <cell r="C1648" t="str">
            <v>09</v>
          </cell>
          <cell r="D1648" t="str">
            <v>09</v>
          </cell>
          <cell r="E1648" t="str">
            <v>795 00 00</v>
          </cell>
          <cell r="F1648" t="str">
            <v>500</v>
          </cell>
        </row>
        <row r="1649">
          <cell r="A1649" t="str">
            <v>Увеличение стоимости основных средств</v>
          </cell>
          <cell r="B1649" t="str">
            <v>904</v>
          </cell>
          <cell r="C1649" t="str">
            <v>09</v>
          </cell>
          <cell r="D1649" t="str">
            <v>09</v>
          </cell>
          <cell r="E1649" t="str">
            <v>795 12 00</v>
          </cell>
          <cell r="F1649" t="str">
            <v>500</v>
          </cell>
        </row>
        <row r="1650">
          <cell r="A1650" t="str">
            <v>Увеличение стоимости основных средств</v>
          </cell>
          <cell r="B1650" t="str">
            <v>904</v>
          </cell>
          <cell r="C1650" t="str">
            <v>09</v>
          </cell>
          <cell r="D1650" t="str">
            <v>09</v>
          </cell>
          <cell r="E1650" t="str">
            <v>795 13 00</v>
          </cell>
          <cell r="F1650" t="str">
            <v>500</v>
          </cell>
        </row>
        <row r="1651">
          <cell r="A1651" t="str">
            <v>Увеличение стоимости основных средств</v>
          </cell>
          <cell r="B1651" t="str">
            <v>904</v>
          </cell>
          <cell r="C1651" t="str">
            <v>09</v>
          </cell>
          <cell r="D1651" t="str">
            <v>09</v>
          </cell>
          <cell r="E1651" t="str">
            <v>795 16 00</v>
          </cell>
          <cell r="F1651" t="str">
            <v>500</v>
          </cell>
        </row>
        <row r="1652">
          <cell r="A1652" t="str">
            <v>Увеличение стоимости основных средств</v>
          </cell>
          <cell r="B1652" t="str">
            <v>904</v>
          </cell>
          <cell r="C1652" t="str">
            <v>09</v>
          </cell>
          <cell r="D1652" t="str">
            <v>09</v>
          </cell>
          <cell r="E1652" t="str">
            <v>795 15 00</v>
          </cell>
          <cell r="F1652" t="str">
            <v>500</v>
          </cell>
        </row>
        <row r="1653">
          <cell r="A1653" t="str">
            <v>Увеличение стоимости основных средств</v>
          </cell>
          <cell r="B1653" t="str">
            <v>904</v>
          </cell>
          <cell r="C1653" t="str">
            <v>09</v>
          </cell>
          <cell r="D1653" t="str">
            <v>09</v>
          </cell>
          <cell r="E1653" t="str">
            <v>795 11 00</v>
          </cell>
          <cell r="F1653" t="str">
            <v>500</v>
          </cell>
        </row>
        <row r="1654">
          <cell r="A1654" t="str">
            <v>Увеличение стоимости основных средств</v>
          </cell>
          <cell r="B1654" t="str">
            <v>904</v>
          </cell>
          <cell r="C1654" t="str">
            <v>09</v>
          </cell>
          <cell r="D1654" t="str">
            <v>09</v>
          </cell>
          <cell r="E1654" t="str">
            <v>795 14 00</v>
          </cell>
          <cell r="F1654" t="str">
            <v>500</v>
          </cell>
        </row>
        <row r="1655">
          <cell r="A1655" t="str">
            <v>Увеличение стоимости материальных запасов</v>
          </cell>
          <cell r="B1655" t="str">
            <v>904</v>
          </cell>
          <cell r="C1655" t="str">
            <v>09</v>
          </cell>
          <cell r="D1655" t="str">
            <v>09</v>
          </cell>
          <cell r="E1655" t="str">
            <v>795 31 00</v>
          </cell>
          <cell r="F1655" t="str">
            <v>500</v>
          </cell>
        </row>
        <row r="1656">
          <cell r="A1656" t="str">
            <v>Увеличение стоимости материальных запасов</v>
          </cell>
          <cell r="B1656" t="str">
            <v>904</v>
          </cell>
          <cell r="C1656" t="str">
            <v>09</v>
          </cell>
          <cell r="D1656" t="str">
            <v>09</v>
          </cell>
          <cell r="E1656" t="str">
            <v>795 11 00</v>
          </cell>
          <cell r="F1656" t="str">
            <v>500</v>
          </cell>
        </row>
        <row r="1657">
          <cell r="A1657" t="str">
            <v>Увеличение стоимости материальных запасов</v>
          </cell>
          <cell r="B1657" t="str">
            <v>904</v>
          </cell>
          <cell r="C1657" t="str">
            <v>09</v>
          </cell>
          <cell r="D1657" t="str">
            <v>09</v>
          </cell>
          <cell r="E1657" t="str">
            <v>795 13 00</v>
          </cell>
          <cell r="F1657" t="str">
            <v>500</v>
          </cell>
        </row>
        <row r="1658">
          <cell r="A1658" t="str">
            <v>Увеличение стоимости материальных запасов</v>
          </cell>
          <cell r="B1658" t="str">
            <v>904</v>
          </cell>
          <cell r="C1658" t="str">
            <v>09</v>
          </cell>
          <cell r="D1658" t="str">
            <v>09</v>
          </cell>
          <cell r="E1658" t="str">
            <v>795 14 00</v>
          </cell>
          <cell r="F1658" t="str">
            <v>500</v>
          </cell>
        </row>
        <row r="1659">
          <cell r="A1659" t="str">
            <v>Увеличение стоимости материальных запасов</v>
          </cell>
          <cell r="B1659" t="str">
            <v>904</v>
          </cell>
          <cell r="C1659" t="str">
            <v>09</v>
          </cell>
          <cell r="D1659" t="str">
            <v>09</v>
          </cell>
          <cell r="E1659" t="str">
            <v>795 15 00</v>
          </cell>
          <cell r="F1659" t="str">
            <v>500</v>
          </cell>
        </row>
        <row r="1660">
          <cell r="A1660" t="str">
            <v>Здравоохранение и спорт</v>
          </cell>
          <cell r="C1660" t="str">
            <v>09</v>
          </cell>
          <cell r="D1660" t="str">
            <v>00</v>
          </cell>
          <cell r="E1660" t="str">
            <v>000 00 00</v>
          </cell>
          <cell r="F1660" t="str">
            <v>000</v>
          </cell>
        </row>
        <row r="1661">
          <cell r="A1661" t="str">
            <v>Расходы</v>
          </cell>
          <cell r="C1661" t="str">
            <v>09</v>
          </cell>
          <cell r="D1661" t="str">
            <v>00</v>
          </cell>
          <cell r="E1661" t="str">
            <v>000 00 00</v>
          </cell>
          <cell r="F1661" t="str">
            <v>000</v>
          </cell>
        </row>
        <row r="1662">
          <cell r="A1662" t="str">
            <v>Оплата труда и начисления на оплату труда</v>
          </cell>
          <cell r="C1662" t="str">
            <v>09</v>
          </cell>
          <cell r="D1662" t="str">
            <v>00</v>
          </cell>
          <cell r="E1662" t="str">
            <v>000 00 00</v>
          </cell>
          <cell r="F1662" t="str">
            <v>000</v>
          </cell>
        </row>
        <row r="1663">
          <cell r="A1663" t="str">
            <v>Заработная плата</v>
          </cell>
          <cell r="C1663" t="str">
            <v>09</v>
          </cell>
          <cell r="D1663" t="str">
            <v>00</v>
          </cell>
          <cell r="E1663" t="str">
            <v>000 00 00</v>
          </cell>
          <cell r="F1663" t="str">
            <v>000</v>
          </cell>
        </row>
        <row r="1664">
          <cell r="A1664" t="str">
            <v>Прочие выплаты</v>
          </cell>
          <cell r="C1664" t="str">
            <v>09</v>
          </cell>
          <cell r="D1664" t="str">
            <v>00</v>
          </cell>
          <cell r="E1664" t="str">
            <v>000 00 00</v>
          </cell>
          <cell r="F1664" t="str">
            <v>000</v>
          </cell>
        </row>
        <row r="1665">
          <cell r="A1665" t="str">
            <v>Начисление на оплату труда</v>
          </cell>
          <cell r="C1665" t="str">
            <v>09</v>
          </cell>
          <cell r="D1665" t="str">
            <v>00</v>
          </cell>
          <cell r="E1665" t="str">
            <v>000 00 00</v>
          </cell>
          <cell r="F1665" t="str">
            <v>000</v>
          </cell>
        </row>
        <row r="1666">
          <cell r="A1666" t="str">
            <v>Приобретение услуг</v>
          </cell>
          <cell r="C1666" t="str">
            <v>09</v>
          </cell>
          <cell r="D1666" t="str">
            <v>00</v>
          </cell>
          <cell r="E1666" t="str">
            <v>000 00 00</v>
          </cell>
          <cell r="F1666" t="str">
            <v>000</v>
          </cell>
        </row>
        <row r="1667">
          <cell r="A1667" t="str">
            <v>Услуги связи </v>
          </cell>
          <cell r="C1667" t="str">
            <v>09</v>
          </cell>
          <cell r="D1667" t="str">
            <v>00</v>
          </cell>
          <cell r="E1667" t="str">
            <v>000 00 00</v>
          </cell>
          <cell r="F1667" t="str">
            <v>000</v>
          </cell>
        </row>
        <row r="1668">
          <cell r="A1668" t="str">
            <v>Транспортные услуги</v>
          </cell>
          <cell r="C1668" t="str">
            <v>09</v>
          </cell>
          <cell r="D1668" t="str">
            <v>00</v>
          </cell>
          <cell r="E1668" t="str">
            <v>000 00 00</v>
          </cell>
          <cell r="F1668" t="str">
            <v>000</v>
          </cell>
        </row>
        <row r="1669">
          <cell r="A1669" t="str">
            <v>Коммунальные услуги</v>
          </cell>
          <cell r="C1669" t="str">
            <v>09</v>
          </cell>
          <cell r="D1669" t="str">
            <v>00</v>
          </cell>
          <cell r="E1669" t="str">
            <v>000 00 00</v>
          </cell>
          <cell r="F1669" t="str">
            <v>000</v>
          </cell>
        </row>
        <row r="1670">
          <cell r="A1670" t="str">
            <v>Арендная плата за пользование иммуществом </v>
          </cell>
          <cell r="C1670" t="str">
            <v>09</v>
          </cell>
          <cell r="D1670" t="str">
            <v>00</v>
          </cell>
          <cell r="E1670" t="str">
            <v>000 00 00</v>
          </cell>
          <cell r="F1670" t="str">
            <v>000</v>
          </cell>
        </row>
        <row r="1671">
          <cell r="A1671" t="str">
            <v>Услуги по содержанию иммущества</v>
          </cell>
          <cell r="C1671" t="str">
            <v>09</v>
          </cell>
          <cell r="D1671" t="str">
            <v>00</v>
          </cell>
          <cell r="E1671" t="str">
            <v>000 00 00</v>
          </cell>
          <cell r="F1671" t="str">
            <v>000</v>
          </cell>
        </row>
        <row r="1672">
          <cell r="A1672" t="str">
            <v>Прочие услуги</v>
          </cell>
          <cell r="C1672" t="str">
            <v>09</v>
          </cell>
          <cell r="D1672" t="str">
            <v>00</v>
          </cell>
          <cell r="E1672" t="str">
            <v>000 00 00</v>
          </cell>
          <cell r="F1672" t="str">
            <v>000</v>
          </cell>
        </row>
        <row r="1673">
          <cell r="A1673" t="str">
            <v>Прочие расходы</v>
          </cell>
          <cell r="C1673" t="str">
            <v>09</v>
          </cell>
          <cell r="D1673" t="str">
            <v>00</v>
          </cell>
          <cell r="E1673" t="str">
            <v>000 00 00</v>
          </cell>
          <cell r="F1673" t="str">
            <v>000</v>
          </cell>
        </row>
        <row r="1674">
          <cell r="A1674" t="str">
            <v>Поступление нефинансовых активов</v>
          </cell>
          <cell r="C1674" t="str">
            <v>09</v>
          </cell>
          <cell r="D1674" t="str">
            <v>00</v>
          </cell>
          <cell r="E1674" t="str">
            <v>000 00 00</v>
          </cell>
          <cell r="F1674" t="str">
            <v>000</v>
          </cell>
        </row>
        <row r="1675">
          <cell r="A1675" t="str">
            <v>Увеличение стоимости основных средств</v>
          </cell>
          <cell r="C1675" t="str">
            <v>09</v>
          </cell>
          <cell r="D1675" t="str">
            <v>00</v>
          </cell>
          <cell r="E1675" t="str">
            <v>000 00 00</v>
          </cell>
          <cell r="F1675" t="str">
            <v>000</v>
          </cell>
        </row>
        <row r="1676">
          <cell r="A1676" t="str">
            <v>Увеличение стоимости материальных запасов</v>
          </cell>
          <cell r="C1676" t="str">
            <v>09</v>
          </cell>
          <cell r="D1676" t="str">
            <v>00</v>
          </cell>
          <cell r="E1676" t="str">
            <v>000 00 00</v>
          </cell>
          <cell r="F1676" t="str">
            <v>000</v>
          </cell>
        </row>
        <row r="1677">
          <cell r="A1677" t="str">
            <v>Безвозмездные и безвозвратные перечисления организациям</v>
          </cell>
          <cell r="C1677" t="str">
            <v>09</v>
          </cell>
          <cell r="D1677" t="str">
            <v>00</v>
          </cell>
          <cell r="E1677" t="str">
            <v>000 00 00</v>
          </cell>
          <cell r="F1677" t="str">
            <v>000</v>
          </cell>
        </row>
        <row r="1678">
          <cell r="A1678" t="str">
            <v>Безвозмездные и безвозвратные перечисления государственным и муниципальным организациям</v>
          </cell>
          <cell r="C1678" t="str">
            <v>09</v>
          </cell>
          <cell r="D1678" t="str">
            <v>00</v>
          </cell>
          <cell r="E1678" t="str">
            <v>000 00 00</v>
          </cell>
          <cell r="F1678" t="str">
            <v>000 </v>
          </cell>
        </row>
        <row r="1679">
          <cell r="A1679" t="str">
            <v>Безвозмездные и безвозвратные перичисления бюджетам</v>
          </cell>
          <cell r="C1679" t="str">
            <v>09</v>
          </cell>
          <cell r="D1679" t="str">
            <v>00</v>
          </cell>
          <cell r="E1679" t="str">
            <v>000 00 00</v>
          </cell>
          <cell r="F1679" t="str">
            <v>000</v>
          </cell>
        </row>
        <row r="1680">
          <cell r="A1680" t="str">
            <v>Перечисления другим бюджетам бюджетной системы РФ</v>
          </cell>
          <cell r="C1680" t="str">
            <v>09</v>
          </cell>
          <cell r="D1680" t="str">
            <v>00</v>
          </cell>
          <cell r="E1680" t="str">
            <v>000 00 00</v>
          </cell>
          <cell r="F1680" t="str">
            <v>000</v>
          </cell>
        </row>
        <row r="1681">
          <cell r="A1681" t="str">
            <v>Пособие по социальной помощи населению </v>
          </cell>
          <cell r="C1681" t="str">
            <v>09</v>
          </cell>
          <cell r="D1681" t="str">
            <v>00</v>
          </cell>
          <cell r="E1681" t="str">
            <v>000 00 00</v>
          </cell>
          <cell r="F1681" t="str">
            <v>000</v>
          </cell>
        </row>
        <row r="1682">
          <cell r="A1682" t="str">
            <v>ИТОГО:</v>
          </cell>
          <cell r="C1682" t="str">
            <v>09</v>
          </cell>
          <cell r="D1682" t="str">
            <v>00</v>
          </cell>
          <cell r="E1682" t="str">
            <v>000 00 00</v>
          </cell>
          <cell r="F1682" t="str">
            <v>000</v>
          </cell>
        </row>
        <row r="1683">
          <cell r="A1683" t="str">
            <v>Социальная политика</v>
          </cell>
          <cell r="C1683" t="str">
            <v>10</v>
          </cell>
          <cell r="D1683" t="str">
            <v>00</v>
          </cell>
          <cell r="E1683" t="str">
            <v>000 00 00</v>
          </cell>
          <cell r="F1683" t="str">
            <v>000</v>
          </cell>
        </row>
        <row r="1684">
          <cell r="A1684" t="str">
            <v>Пенсионное обеспечение </v>
          </cell>
          <cell r="B1684" t="str">
            <v>902</v>
          </cell>
          <cell r="C1684" t="str">
            <v>10</v>
          </cell>
          <cell r="D1684" t="str">
            <v>01</v>
          </cell>
          <cell r="E1684" t="str">
            <v>000 00 00</v>
          </cell>
          <cell r="F1684" t="str">
            <v>000</v>
          </cell>
        </row>
        <row r="1685">
          <cell r="A1685" t="str">
            <v>Пенсии </v>
          </cell>
          <cell r="B1685" t="str">
            <v>902</v>
          </cell>
          <cell r="C1685" t="str">
            <v>10</v>
          </cell>
          <cell r="D1685" t="str">
            <v>01</v>
          </cell>
          <cell r="E1685" t="str">
            <v>490 00 00</v>
          </cell>
          <cell r="F1685" t="str">
            <v>000</v>
          </cell>
        </row>
        <row r="1686">
          <cell r="A1686" t="str">
            <v>Доплаты к пенсиям государственных служащих субъектов РФ и муниципальных служащих</v>
          </cell>
          <cell r="B1686" t="str">
            <v>902</v>
          </cell>
          <cell r="C1686" t="str">
            <v>10</v>
          </cell>
          <cell r="D1686" t="str">
            <v>01</v>
          </cell>
          <cell r="E1686" t="str">
            <v>491 01 00</v>
          </cell>
          <cell r="F1686" t="str">
            <v>000</v>
          </cell>
        </row>
        <row r="1687">
          <cell r="A1687" t="str">
            <v>Социальные выплаты</v>
          </cell>
          <cell r="B1687" t="str">
            <v>902</v>
          </cell>
          <cell r="C1687" t="str">
            <v>10</v>
          </cell>
          <cell r="D1687" t="str">
            <v>01</v>
          </cell>
          <cell r="E1687" t="str">
            <v>491 01 00</v>
          </cell>
          <cell r="F1687" t="str">
            <v>005</v>
          </cell>
        </row>
        <row r="1688">
          <cell r="A1688" t="str">
            <v>Расходы</v>
          </cell>
          <cell r="B1688" t="str">
            <v>902</v>
          </cell>
          <cell r="C1688" t="str">
            <v>10</v>
          </cell>
          <cell r="D1688" t="str">
            <v>01</v>
          </cell>
          <cell r="E1688" t="str">
            <v>491 01 00</v>
          </cell>
          <cell r="F1688" t="str">
            <v>005</v>
          </cell>
        </row>
        <row r="1689">
          <cell r="A1689" t="str">
            <v>Социальное обеспечение </v>
          </cell>
          <cell r="B1689" t="str">
            <v>902</v>
          </cell>
          <cell r="C1689" t="str">
            <v>10</v>
          </cell>
          <cell r="D1689" t="str">
            <v>01</v>
          </cell>
          <cell r="E1689" t="str">
            <v>491 01 00</v>
          </cell>
          <cell r="F1689" t="str">
            <v>005</v>
          </cell>
        </row>
        <row r="1690">
          <cell r="A1690" t="str">
            <v>Пенсии, пособия, выплачиваемые организациями сектора государственного управления</v>
          </cell>
          <cell r="B1690" t="str">
            <v>902</v>
          </cell>
          <cell r="C1690" t="str">
            <v>10</v>
          </cell>
          <cell r="D1690" t="str">
            <v>01</v>
          </cell>
          <cell r="E1690" t="str">
            <v>491 01 00</v>
          </cell>
          <cell r="F1690" t="str">
            <v>005</v>
          </cell>
        </row>
        <row r="1691">
          <cell r="A1691" t="str">
            <v>Пенсии, пособия, выплачиваемые организациями сектора государственного управления </v>
          </cell>
          <cell r="B1691" t="str">
            <v>902</v>
          </cell>
          <cell r="C1691" t="str">
            <v>10</v>
          </cell>
          <cell r="D1691" t="str">
            <v>02</v>
          </cell>
          <cell r="E1691" t="str">
            <v>000 00 00</v>
          </cell>
          <cell r="F1691" t="str">
            <v>000</v>
          </cell>
        </row>
        <row r="1692">
          <cell r="A1692" t="str">
            <v>Пенсии, пособия, выплачиваемые организациями сектора государственного управления </v>
          </cell>
          <cell r="B1692" t="str">
            <v>902</v>
          </cell>
          <cell r="C1692" t="str">
            <v>10</v>
          </cell>
          <cell r="D1692" t="str">
            <v>02</v>
          </cell>
          <cell r="E1692" t="str">
            <v>501 00 00</v>
          </cell>
          <cell r="F1692" t="str">
            <v>000</v>
          </cell>
        </row>
        <row r="1693">
          <cell r="A1693" t="str">
            <v>Пенсии, пособия, выплачиваемые организациями сектора государственного управления </v>
          </cell>
          <cell r="B1693" t="str">
            <v>902</v>
          </cell>
          <cell r="C1693" t="str">
            <v>10</v>
          </cell>
          <cell r="D1693" t="str">
            <v>02</v>
          </cell>
          <cell r="E1693" t="str">
            <v>501 00 00</v>
          </cell>
          <cell r="F1693" t="str">
            <v>327</v>
          </cell>
        </row>
        <row r="1694">
          <cell r="A1694" t="str">
            <v>Пенсии, пособия, выплачиваемые организациями сектора государственного управления </v>
          </cell>
          <cell r="B1694" t="str">
            <v>902</v>
          </cell>
          <cell r="C1694" t="str">
            <v>10</v>
          </cell>
          <cell r="D1694" t="str">
            <v>02</v>
          </cell>
          <cell r="E1694" t="str">
            <v>501 00 00</v>
          </cell>
          <cell r="F1694" t="str">
            <v>327</v>
          </cell>
        </row>
        <row r="1695">
          <cell r="A1695" t="str">
            <v>Пенсии, пособия, выплачиваемые организациями сектора государственного управления </v>
          </cell>
          <cell r="B1695" t="str">
            <v>902</v>
          </cell>
          <cell r="C1695" t="str">
            <v>10</v>
          </cell>
          <cell r="D1695" t="str">
            <v>02</v>
          </cell>
          <cell r="E1695" t="str">
            <v>501 00 00</v>
          </cell>
          <cell r="F1695" t="str">
            <v>327</v>
          </cell>
        </row>
        <row r="1696">
          <cell r="A1696" t="str">
            <v>Пенсии, пособия, выплачиваемые организациями сектора государственного управления </v>
          </cell>
          <cell r="B1696" t="str">
            <v>902</v>
          </cell>
          <cell r="C1696" t="str">
            <v>10</v>
          </cell>
          <cell r="D1696" t="str">
            <v>02</v>
          </cell>
          <cell r="E1696" t="str">
            <v>501 00 00</v>
          </cell>
          <cell r="F1696" t="str">
            <v>327</v>
          </cell>
        </row>
        <row r="1697">
          <cell r="A1697" t="str">
            <v>Пенсии, пособия, выплачиваемые организациями сектора государственного управления </v>
          </cell>
          <cell r="B1697" t="str">
            <v>902</v>
          </cell>
          <cell r="C1697" t="str">
            <v>10</v>
          </cell>
          <cell r="D1697" t="str">
            <v>02</v>
          </cell>
          <cell r="E1697" t="str">
            <v>501 00 00</v>
          </cell>
          <cell r="F1697" t="str">
            <v>327</v>
          </cell>
        </row>
        <row r="1698">
          <cell r="A1698" t="str">
            <v>Пенсии, пособия, выплачиваемые организациями сектора государственного управления </v>
          </cell>
          <cell r="B1698" t="str">
            <v>902</v>
          </cell>
          <cell r="C1698" t="str">
            <v>10</v>
          </cell>
          <cell r="D1698" t="str">
            <v>02</v>
          </cell>
          <cell r="E1698" t="str">
            <v>501 00 00</v>
          </cell>
          <cell r="F1698" t="str">
            <v>327</v>
          </cell>
        </row>
        <row r="1699">
          <cell r="A1699" t="str">
            <v>Пенсии, пособия, выплачиваемые организациями сектора государственного управления </v>
          </cell>
          <cell r="B1699" t="str">
            <v>902</v>
          </cell>
          <cell r="C1699" t="str">
            <v>10</v>
          </cell>
          <cell r="D1699" t="str">
            <v>02</v>
          </cell>
          <cell r="E1699" t="str">
            <v>501 00 00</v>
          </cell>
          <cell r="F1699" t="str">
            <v>327</v>
          </cell>
        </row>
        <row r="1700">
          <cell r="A1700" t="str">
            <v>Пенсии, пособия, выплачиваемые организациями сектора государственного управления </v>
          </cell>
          <cell r="B1700" t="str">
            <v>902</v>
          </cell>
          <cell r="C1700" t="str">
            <v>10</v>
          </cell>
          <cell r="D1700" t="str">
            <v>02</v>
          </cell>
          <cell r="E1700" t="str">
            <v>501 00 00</v>
          </cell>
          <cell r="F1700" t="str">
            <v>327</v>
          </cell>
        </row>
        <row r="1701">
          <cell r="A1701" t="str">
            <v>Пенсии, пособия, выплачиваемые организациями сектора государственного управления </v>
          </cell>
          <cell r="B1701" t="str">
            <v>902</v>
          </cell>
          <cell r="C1701" t="str">
            <v>10</v>
          </cell>
          <cell r="D1701" t="str">
            <v>02</v>
          </cell>
          <cell r="E1701" t="str">
            <v>501 00 00</v>
          </cell>
          <cell r="F1701" t="str">
            <v>327</v>
          </cell>
        </row>
        <row r="1702">
          <cell r="A1702" t="str">
            <v>Пенсии, пособия, выплачиваемые организациями сектора государственного управления </v>
          </cell>
          <cell r="B1702" t="str">
            <v>902</v>
          </cell>
          <cell r="C1702" t="str">
            <v>10</v>
          </cell>
          <cell r="D1702" t="str">
            <v>02</v>
          </cell>
          <cell r="E1702" t="str">
            <v>501 00 00</v>
          </cell>
          <cell r="F1702" t="str">
            <v>327</v>
          </cell>
        </row>
        <row r="1703">
          <cell r="A1703" t="str">
            <v>Пенсии, пособия, выплачиваемые организациями сектора государственного управления </v>
          </cell>
          <cell r="B1703" t="str">
            <v>902</v>
          </cell>
          <cell r="C1703" t="str">
            <v>10</v>
          </cell>
          <cell r="D1703" t="str">
            <v>02</v>
          </cell>
          <cell r="E1703" t="str">
            <v>501 00 00</v>
          </cell>
          <cell r="F1703" t="str">
            <v>327</v>
          </cell>
        </row>
        <row r="1704">
          <cell r="A1704" t="str">
            <v>Пенсии, пособия, выплачиваемые организациями сектора государственного управления </v>
          </cell>
          <cell r="B1704" t="str">
            <v>902</v>
          </cell>
          <cell r="C1704" t="str">
            <v>10</v>
          </cell>
          <cell r="D1704" t="str">
            <v>02</v>
          </cell>
          <cell r="E1704" t="str">
            <v>501 00 00</v>
          </cell>
          <cell r="F1704" t="str">
            <v>327</v>
          </cell>
        </row>
        <row r="1705">
          <cell r="A1705" t="str">
            <v>Пенсии, пособия, выплачиваемые организациями сектора государственного управления </v>
          </cell>
          <cell r="B1705" t="str">
            <v>902</v>
          </cell>
          <cell r="C1705" t="str">
            <v>10</v>
          </cell>
          <cell r="D1705" t="str">
            <v>02</v>
          </cell>
          <cell r="E1705" t="str">
            <v>501 00 00</v>
          </cell>
          <cell r="F1705" t="str">
            <v>327</v>
          </cell>
        </row>
        <row r="1706">
          <cell r="A1706" t="str">
            <v>Пенсии, пособия, выплачиваемые организациями сектора государственного управления </v>
          </cell>
          <cell r="B1706" t="str">
            <v>902</v>
          </cell>
          <cell r="C1706" t="str">
            <v>10</v>
          </cell>
          <cell r="D1706" t="str">
            <v>02</v>
          </cell>
          <cell r="E1706" t="str">
            <v>501 00 00</v>
          </cell>
          <cell r="F1706" t="str">
            <v>327</v>
          </cell>
        </row>
        <row r="1707">
          <cell r="A1707" t="str">
            <v>Пенсии, пособия, выплачиваемые организациями сектора государственного управления </v>
          </cell>
          <cell r="B1707" t="str">
            <v>902</v>
          </cell>
          <cell r="C1707" t="str">
            <v>10</v>
          </cell>
          <cell r="D1707" t="str">
            <v>02</v>
          </cell>
          <cell r="E1707" t="str">
            <v>501 00 00</v>
          </cell>
          <cell r="F1707" t="str">
            <v>327</v>
          </cell>
        </row>
        <row r="1708">
          <cell r="A1708" t="str">
            <v>Пенсии, пособия, выплачиваемые организациями сектора государственного управления </v>
          </cell>
          <cell r="B1708" t="str">
            <v>902</v>
          </cell>
          <cell r="C1708" t="str">
            <v>10</v>
          </cell>
          <cell r="D1708" t="str">
            <v>02</v>
          </cell>
          <cell r="E1708" t="str">
            <v>501 00 00</v>
          </cell>
          <cell r="F1708" t="str">
            <v>327</v>
          </cell>
        </row>
        <row r="1709">
          <cell r="B1709" t="str">
            <v>902</v>
          </cell>
        </row>
        <row r="1710">
          <cell r="B1710" t="str">
            <v>902</v>
          </cell>
        </row>
        <row r="1711">
          <cell r="A1711" t="str">
            <v>Учреждения социального обслуживания населения </v>
          </cell>
          <cell r="B1711" t="str">
            <v>902</v>
          </cell>
          <cell r="C1711" t="str">
            <v>10</v>
          </cell>
          <cell r="D1711" t="str">
            <v>02</v>
          </cell>
          <cell r="E1711" t="str">
            <v>506 00 00</v>
          </cell>
          <cell r="F1711" t="str">
            <v>000 </v>
          </cell>
        </row>
        <row r="1712">
          <cell r="A1712" t="str">
            <v>Обеспечение деятельности подведомственных учреждений</v>
          </cell>
          <cell r="B1712" t="str">
            <v>902</v>
          </cell>
          <cell r="C1712" t="str">
            <v>10</v>
          </cell>
          <cell r="D1712" t="str">
            <v>02</v>
          </cell>
          <cell r="E1712" t="str">
            <v>506 00 00</v>
          </cell>
          <cell r="F1712" t="str">
            <v>327</v>
          </cell>
        </row>
        <row r="1713">
          <cell r="A1713" t="str">
            <v>Оплата труда и начисления на оплату труда</v>
          </cell>
          <cell r="B1713" t="str">
            <v>902</v>
          </cell>
          <cell r="C1713" t="str">
            <v>10</v>
          </cell>
          <cell r="D1713" t="str">
            <v>02</v>
          </cell>
          <cell r="E1713" t="str">
            <v>506 00 00</v>
          </cell>
          <cell r="F1713" t="str">
            <v>327</v>
          </cell>
        </row>
        <row r="1714">
          <cell r="A1714" t="str">
            <v>Заработная плата</v>
          </cell>
          <cell r="B1714" t="str">
            <v>902</v>
          </cell>
          <cell r="C1714" t="str">
            <v>10</v>
          </cell>
          <cell r="D1714" t="str">
            <v>02</v>
          </cell>
          <cell r="E1714" t="str">
            <v>506 00 00</v>
          </cell>
          <cell r="F1714" t="str">
            <v>327</v>
          </cell>
        </row>
        <row r="1715">
          <cell r="A1715" t="str">
            <v>Прочие выплаты</v>
          </cell>
          <cell r="B1715" t="str">
            <v>902</v>
          </cell>
          <cell r="C1715" t="str">
            <v>10</v>
          </cell>
          <cell r="D1715" t="str">
            <v>02</v>
          </cell>
          <cell r="E1715" t="str">
            <v>506 00 00</v>
          </cell>
          <cell r="F1715" t="str">
            <v>327</v>
          </cell>
        </row>
        <row r="1716">
          <cell r="A1716" t="str">
            <v>Начисление на оплату труда</v>
          </cell>
          <cell r="B1716" t="str">
            <v>902</v>
          </cell>
          <cell r="C1716" t="str">
            <v>10</v>
          </cell>
          <cell r="D1716" t="str">
            <v>02</v>
          </cell>
          <cell r="E1716" t="str">
            <v>506 00 00</v>
          </cell>
          <cell r="F1716" t="str">
            <v>327</v>
          </cell>
        </row>
        <row r="1717">
          <cell r="A1717" t="str">
            <v>Приобретение услуг</v>
          </cell>
          <cell r="B1717" t="str">
            <v>902</v>
          </cell>
          <cell r="C1717" t="str">
            <v>10</v>
          </cell>
          <cell r="D1717" t="str">
            <v>02</v>
          </cell>
          <cell r="E1717" t="str">
            <v>506 00 00</v>
          </cell>
          <cell r="F1717" t="str">
            <v>327</v>
          </cell>
        </row>
        <row r="1718">
          <cell r="A1718" t="str">
            <v>Услуги связи </v>
          </cell>
          <cell r="B1718" t="str">
            <v>902</v>
          </cell>
          <cell r="C1718" t="str">
            <v>10</v>
          </cell>
          <cell r="D1718" t="str">
            <v>02</v>
          </cell>
          <cell r="E1718" t="str">
            <v>506 00 00</v>
          </cell>
          <cell r="F1718" t="str">
            <v>327</v>
          </cell>
        </row>
        <row r="1719">
          <cell r="A1719" t="str">
            <v>Транспортные услуги</v>
          </cell>
          <cell r="B1719" t="str">
            <v>902</v>
          </cell>
          <cell r="C1719" t="str">
            <v>10</v>
          </cell>
          <cell r="D1719" t="str">
            <v>02</v>
          </cell>
          <cell r="E1719" t="str">
            <v>506 00 00</v>
          </cell>
          <cell r="F1719" t="str">
            <v>327</v>
          </cell>
        </row>
        <row r="1720">
          <cell r="A1720" t="str">
            <v>Коммунальные услуги</v>
          </cell>
          <cell r="B1720" t="str">
            <v>902</v>
          </cell>
          <cell r="C1720" t="str">
            <v>10</v>
          </cell>
          <cell r="D1720" t="str">
            <v>02</v>
          </cell>
          <cell r="E1720" t="str">
            <v>506 00 00</v>
          </cell>
          <cell r="F1720" t="str">
            <v>327</v>
          </cell>
        </row>
        <row r="1721">
          <cell r="A1721" t="str">
            <v>Арендная плата за пользование иммуществом </v>
          </cell>
          <cell r="B1721" t="str">
            <v>902</v>
          </cell>
          <cell r="C1721" t="str">
            <v>10</v>
          </cell>
          <cell r="D1721" t="str">
            <v>02</v>
          </cell>
          <cell r="E1721" t="str">
            <v>506 00 00</v>
          </cell>
          <cell r="F1721" t="str">
            <v>327</v>
          </cell>
        </row>
        <row r="1722">
          <cell r="A1722" t="str">
            <v>Услуги по содержанию иммущества</v>
          </cell>
          <cell r="B1722" t="str">
            <v>902</v>
          </cell>
          <cell r="C1722" t="str">
            <v>10</v>
          </cell>
          <cell r="D1722" t="str">
            <v>02</v>
          </cell>
          <cell r="E1722" t="str">
            <v>506 00 00</v>
          </cell>
          <cell r="F1722" t="str">
            <v>327</v>
          </cell>
        </row>
        <row r="1723">
          <cell r="A1723" t="str">
            <v>Прочие услуги</v>
          </cell>
          <cell r="B1723" t="str">
            <v>902</v>
          </cell>
          <cell r="C1723" t="str">
            <v>10</v>
          </cell>
          <cell r="D1723" t="str">
            <v>02</v>
          </cell>
          <cell r="E1723" t="str">
            <v>506 00 00</v>
          </cell>
          <cell r="F1723" t="str">
            <v>327</v>
          </cell>
        </row>
        <row r="1724">
          <cell r="A1724" t="str">
            <v>Прочие расходы </v>
          </cell>
          <cell r="B1724" t="str">
            <v>902</v>
          </cell>
          <cell r="C1724" t="str">
            <v>10</v>
          </cell>
          <cell r="D1724" t="str">
            <v>02</v>
          </cell>
          <cell r="E1724" t="str">
            <v>506 00 00</v>
          </cell>
          <cell r="F1724" t="str">
            <v>327</v>
          </cell>
        </row>
        <row r="1725">
          <cell r="A1725" t="str">
            <v>Поступление нефинансовых активов</v>
          </cell>
          <cell r="B1725" t="str">
            <v>902</v>
          </cell>
          <cell r="C1725" t="str">
            <v>10</v>
          </cell>
          <cell r="D1725" t="str">
            <v>02</v>
          </cell>
          <cell r="E1725" t="str">
            <v>506 00 00</v>
          </cell>
          <cell r="F1725" t="str">
            <v>327</v>
          </cell>
        </row>
        <row r="1726">
          <cell r="A1726" t="str">
            <v>Увеличение стоимости основных средств</v>
          </cell>
          <cell r="B1726" t="str">
            <v>902</v>
          </cell>
          <cell r="C1726" t="str">
            <v>10</v>
          </cell>
          <cell r="D1726" t="str">
            <v>02</v>
          </cell>
          <cell r="E1726" t="str">
            <v>506 00 00</v>
          </cell>
          <cell r="F1726" t="str">
            <v>327</v>
          </cell>
        </row>
        <row r="1727">
          <cell r="A1727" t="str">
            <v>Увеличение стоимости материальных запасов</v>
          </cell>
          <cell r="B1727" t="str">
            <v>902</v>
          </cell>
          <cell r="C1727" t="str">
            <v>10</v>
          </cell>
          <cell r="D1727" t="str">
            <v>02</v>
          </cell>
          <cell r="E1727" t="str">
            <v>506 00 00</v>
          </cell>
          <cell r="F1727" t="str">
            <v>327</v>
          </cell>
        </row>
        <row r="1728">
          <cell r="A1728" t="str">
            <v>Социальное обеспечение населения </v>
          </cell>
          <cell r="B1728" t="str">
            <v>902</v>
          </cell>
          <cell r="C1728" t="str">
            <v>10</v>
          </cell>
          <cell r="D1728" t="str">
            <v>03</v>
          </cell>
          <cell r="E1728" t="str">
            <v>000 00 00</v>
          </cell>
          <cell r="F1728" t="str">
            <v>000</v>
          </cell>
        </row>
        <row r="1729">
          <cell r="A1729" t="str">
            <v>Фонд софинансирования социальных расходов </v>
          </cell>
          <cell r="B1729" t="str">
            <v>902</v>
          </cell>
          <cell r="C1729" t="str">
            <v>10</v>
          </cell>
          <cell r="D1729" t="str">
            <v>03</v>
          </cell>
          <cell r="E1729" t="str">
            <v>515 00 00</v>
          </cell>
          <cell r="F1729" t="str">
            <v>000 </v>
          </cell>
        </row>
        <row r="1730">
          <cell r="A1730" t="str">
            <v>Предоставление льгот ветеранам труда за счет средств бюджетов субъектов РФ и местных бюджетов </v>
          </cell>
          <cell r="B1730" t="str">
            <v>902</v>
          </cell>
          <cell r="C1730" t="str">
            <v>10</v>
          </cell>
          <cell r="D1730" t="str">
            <v>03</v>
          </cell>
          <cell r="E1730" t="str">
            <v>515 00 00</v>
          </cell>
          <cell r="F1730" t="str">
            <v>563</v>
          </cell>
        </row>
        <row r="1731">
          <cell r="A1731" t="str">
            <v>Пособие по социальной помощи населению </v>
          </cell>
          <cell r="B1731" t="str">
            <v>902</v>
          </cell>
          <cell r="C1731" t="str">
            <v>10</v>
          </cell>
          <cell r="D1731" t="str">
            <v>03</v>
          </cell>
          <cell r="E1731" t="str">
            <v>515 00 00</v>
          </cell>
          <cell r="F1731" t="str">
            <v>563</v>
          </cell>
        </row>
        <row r="1732">
          <cell r="A1732" t="str">
            <v>Дотации и субвенции </v>
          </cell>
          <cell r="B1732" t="str">
            <v>902</v>
          </cell>
          <cell r="C1732" t="str">
            <v>10</v>
          </cell>
          <cell r="D1732" t="str">
            <v>03</v>
          </cell>
          <cell r="E1732" t="str">
            <v>517 00 00</v>
          </cell>
          <cell r="F1732" t="str">
            <v>000</v>
          </cell>
        </row>
        <row r="1733">
          <cell r="A1733" t="str">
            <v>Погашение задолженности бюджетов по обязательствам, вытекающим из закона РФ " О реабилитации жертв политических репрессий" </v>
          </cell>
          <cell r="B1733" t="str">
            <v>902</v>
          </cell>
          <cell r="C1733" t="str">
            <v>10</v>
          </cell>
          <cell r="D1733" t="str">
            <v>03</v>
          </cell>
          <cell r="E1733" t="str">
            <v>517 00 00</v>
          </cell>
          <cell r="F1733" t="str">
            <v>479</v>
          </cell>
        </row>
        <row r="1734">
          <cell r="A1734" t="str">
            <v>Пособия по социальной помощи населению </v>
          </cell>
          <cell r="B1734" t="str">
            <v>902</v>
          </cell>
          <cell r="C1734" t="str">
            <v>10</v>
          </cell>
          <cell r="D1734" t="str">
            <v>03</v>
          </cell>
          <cell r="E1734" t="str">
            <v>517 00 00</v>
          </cell>
          <cell r="F1734" t="str">
            <v>479</v>
          </cell>
        </row>
        <row r="1735">
          <cell r="A1735" t="str">
            <v>Региональные целевые программы </v>
          </cell>
          <cell r="B1735" t="str">
            <v>902</v>
          </cell>
          <cell r="C1735" t="str">
            <v>10</v>
          </cell>
          <cell r="D1735" t="str">
            <v>03</v>
          </cell>
          <cell r="E1735" t="str">
            <v>522 00 00</v>
          </cell>
          <cell r="F1735" t="str">
            <v>000</v>
          </cell>
        </row>
        <row r="1736">
          <cell r="A1736" t="str">
            <v>Мероприятия в области социальной политики </v>
          </cell>
          <cell r="B1736" t="str">
            <v>902</v>
          </cell>
          <cell r="C1736" t="str">
            <v>10</v>
          </cell>
          <cell r="D1736" t="str">
            <v>03</v>
          </cell>
          <cell r="E1736" t="str">
            <v>522 00 00</v>
          </cell>
          <cell r="F1736" t="str">
            <v>482</v>
          </cell>
        </row>
        <row r="1737">
          <cell r="A1737" t="str">
            <v>Социальное обеспечение населения </v>
          </cell>
          <cell r="B1737" t="str">
            <v>902</v>
          </cell>
          <cell r="C1737" t="str">
            <v>10</v>
          </cell>
          <cell r="D1737" t="str">
            <v>03</v>
          </cell>
          <cell r="E1737" t="str">
            <v>000 00 00</v>
          </cell>
          <cell r="F1737" t="str">
            <v>000 </v>
          </cell>
        </row>
        <row r="1738">
          <cell r="A1738" t="str">
            <v>Фонд компенсации </v>
          </cell>
          <cell r="B1738" t="str">
            <v>902</v>
          </cell>
          <cell r="C1738" t="str">
            <v>10</v>
          </cell>
          <cell r="D1738" t="str">
            <v>03</v>
          </cell>
          <cell r="E1738" t="str">
            <v>519 00 00</v>
          </cell>
          <cell r="F1738" t="str">
            <v>000</v>
          </cell>
        </row>
        <row r="1739">
          <cell r="A1739" t="str">
            <v>Субвенции на оплату жилищно-коммунальных услуг отдельным категориям граждан</v>
          </cell>
          <cell r="B1739" t="str">
            <v>902</v>
          </cell>
          <cell r="C1739" t="str">
            <v>10</v>
          </cell>
          <cell r="D1739" t="str">
            <v>03</v>
          </cell>
          <cell r="E1739" t="str">
            <v>519 00 00</v>
          </cell>
          <cell r="F1739" t="str">
            <v>561</v>
          </cell>
        </row>
        <row r="1740">
          <cell r="A1740" t="str">
            <v>Пособие по социальной помощи населению </v>
          </cell>
          <cell r="B1740" t="str">
            <v>902</v>
          </cell>
          <cell r="C1740" t="str">
            <v>10</v>
          </cell>
          <cell r="D1740" t="str">
            <v>03</v>
          </cell>
          <cell r="E1740" t="str">
            <v>519 00 00</v>
          </cell>
          <cell r="F1740" t="str">
            <v>561</v>
          </cell>
        </row>
        <row r="1741">
          <cell r="A1741" t="str">
            <v>Пособия по социальной помощи населению </v>
          </cell>
          <cell r="B1741" t="str">
            <v>902</v>
          </cell>
          <cell r="C1741" t="str">
            <v>10</v>
          </cell>
          <cell r="D1741" t="str">
            <v>03</v>
          </cell>
          <cell r="E1741" t="str">
            <v>522 00 00</v>
          </cell>
          <cell r="F1741" t="str">
            <v>482</v>
          </cell>
        </row>
        <row r="1742">
          <cell r="A1742" t="str">
            <v>Борьба с беспризорностью, опека, попечительство</v>
          </cell>
          <cell r="B1742" t="str">
            <v>902</v>
          </cell>
          <cell r="C1742" t="str">
            <v>10</v>
          </cell>
          <cell r="D1742" t="str">
            <v>04</v>
          </cell>
          <cell r="E1742" t="str">
            <v>000 00 00</v>
          </cell>
          <cell r="F1742" t="str">
            <v>000</v>
          </cell>
        </row>
        <row r="1743">
          <cell r="A1743" t="str">
            <v>Мероприятия по борьбе с беспризорностью, по опеке и попечительству </v>
          </cell>
          <cell r="B1743" t="str">
            <v>902</v>
          </cell>
          <cell r="C1743" t="str">
            <v>10</v>
          </cell>
          <cell r="D1743" t="str">
            <v>04</v>
          </cell>
          <cell r="E1743" t="str">
            <v>511 00 00</v>
          </cell>
          <cell r="F1743" t="str">
            <v>000</v>
          </cell>
        </row>
        <row r="1744">
          <cell r="A1744" t="str">
            <v>Другие пособия и компенсации </v>
          </cell>
          <cell r="B1744" t="str">
            <v>902</v>
          </cell>
          <cell r="C1744" t="str">
            <v>10</v>
          </cell>
          <cell r="D1744" t="str">
            <v>04</v>
          </cell>
          <cell r="E1744" t="str">
            <v>511 00 00</v>
          </cell>
          <cell r="F1744" t="str">
            <v>755</v>
          </cell>
        </row>
        <row r="1745">
          <cell r="A1745" t="str">
            <v>Пособия по социальной помощи населению </v>
          </cell>
          <cell r="B1745" t="str">
            <v>902</v>
          </cell>
          <cell r="C1745" t="str">
            <v>10</v>
          </cell>
          <cell r="D1745" t="str">
            <v>04</v>
          </cell>
          <cell r="E1745" t="str">
            <v>511 00 00</v>
          </cell>
          <cell r="F1745" t="str">
            <v>755</v>
          </cell>
        </row>
        <row r="1746">
          <cell r="A1746" t="str">
            <v>Региональные целевые программы </v>
          </cell>
          <cell r="B1746" t="str">
            <v>902</v>
          </cell>
          <cell r="C1746" t="str">
            <v>10</v>
          </cell>
          <cell r="D1746" t="str">
            <v>04</v>
          </cell>
          <cell r="E1746" t="str">
            <v>522 00 00</v>
          </cell>
          <cell r="F1746" t="str">
            <v>000</v>
          </cell>
        </row>
        <row r="1747">
          <cell r="A1747" t="str">
            <v>Профилактика безнадзорности и правонарушений несовершеннолетних</v>
          </cell>
          <cell r="B1747" t="str">
            <v>902</v>
          </cell>
          <cell r="C1747" t="str">
            <v>10</v>
          </cell>
          <cell r="D1747" t="str">
            <v>04</v>
          </cell>
          <cell r="E1747" t="str">
            <v>522 00 00</v>
          </cell>
          <cell r="F1747" t="str">
            <v>481</v>
          </cell>
        </row>
        <row r="1748">
          <cell r="A1748" t="str">
            <v>Прочие расходы </v>
          </cell>
          <cell r="B1748" t="str">
            <v>902</v>
          </cell>
          <cell r="C1748" t="str">
            <v>10</v>
          </cell>
          <cell r="D1748" t="str">
            <v>04</v>
          </cell>
          <cell r="E1748" t="str">
            <v>522 00 00</v>
          </cell>
          <cell r="F1748" t="str">
            <v>481</v>
          </cell>
        </row>
        <row r="1749">
          <cell r="A1749" t="str">
            <v>Другие вопросы в области социальной политики</v>
          </cell>
          <cell r="B1749" t="str">
            <v>902</v>
          </cell>
          <cell r="C1749" t="str">
            <v>10</v>
          </cell>
          <cell r="D1749" t="str">
            <v>06</v>
          </cell>
          <cell r="E1749" t="str">
            <v>000 00 00</v>
          </cell>
          <cell r="F1749" t="str">
            <v>000</v>
          </cell>
        </row>
        <row r="1750">
          <cell r="A1750" t="str">
            <v>Руководство и управление в сфере установленных функций</v>
          </cell>
          <cell r="B1750" t="str">
            <v>902</v>
          </cell>
          <cell r="C1750" t="str">
            <v>10</v>
          </cell>
          <cell r="D1750" t="str">
            <v>06</v>
          </cell>
          <cell r="E1750" t="str">
            <v>001 00 00</v>
          </cell>
          <cell r="F1750" t="str">
            <v>000</v>
          </cell>
        </row>
        <row r="1751">
          <cell r="A1751" t="str">
            <v>Центральный аппарат</v>
          </cell>
          <cell r="B1751" t="str">
            <v>902</v>
          </cell>
          <cell r="C1751" t="str">
            <v>10</v>
          </cell>
          <cell r="D1751" t="str">
            <v>06</v>
          </cell>
          <cell r="E1751" t="str">
            <v>001 00 00</v>
          </cell>
          <cell r="F1751" t="str">
            <v>005</v>
          </cell>
        </row>
        <row r="1752">
          <cell r="A1752" t="str">
            <v>Оплата труда и начисления на оплату труда</v>
          </cell>
          <cell r="B1752" t="str">
            <v>902</v>
          </cell>
          <cell r="C1752" t="str">
            <v>10</v>
          </cell>
          <cell r="D1752" t="str">
            <v>06</v>
          </cell>
          <cell r="E1752" t="str">
            <v>001 00 00</v>
          </cell>
          <cell r="F1752" t="str">
            <v>005</v>
          </cell>
        </row>
        <row r="1753">
          <cell r="A1753" t="str">
            <v>Заработная плата</v>
          </cell>
          <cell r="B1753" t="str">
            <v>902</v>
          </cell>
          <cell r="C1753" t="str">
            <v>10</v>
          </cell>
          <cell r="D1753" t="str">
            <v>06</v>
          </cell>
          <cell r="E1753" t="str">
            <v>001 00 00</v>
          </cell>
          <cell r="F1753" t="str">
            <v>005</v>
          </cell>
        </row>
        <row r="1754">
          <cell r="A1754" t="str">
            <v>Прочие выплаты</v>
          </cell>
          <cell r="B1754" t="str">
            <v>902</v>
          </cell>
          <cell r="C1754" t="str">
            <v>10</v>
          </cell>
          <cell r="D1754" t="str">
            <v>06</v>
          </cell>
          <cell r="E1754" t="str">
            <v>001 00 00</v>
          </cell>
          <cell r="F1754" t="str">
            <v>005</v>
          </cell>
        </row>
        <row r="1755">
          <cell r="A1755" t="str">
            <v>Начисление на оплату труда</v>
          </cell>
          <cell r="B1755" t="str">
            <v>902</v>
          </cell>
          <cell r="C1755" t="str">
            <v>10</v>
          </cell>
          <cell r="D1755" t="str">
            <v>06</v>
          </cell>
          <cell r="E1755" t="str">
            <v>001 00 00</v>
          </cell>
          <cell r="F1755" t="str">
            <v>005</v>
          </cell>
        </row>
        <row r="1756">
          <cell r="A1756" t="str">
            <v>Приобретение услуг</v>
          </cell>
          <cell r="B1756" t="str">
            <v>902</v>
          </cell>
          <cell r="C1756" t="str">
            <v>10</v>
          </cell>
          <cell r="D1756" t="str">
            <v>06</v>
          </cell>
          <cell r="E1756" t="str">
            <v>001 00 00</v>
          </cell>
          <cell r="F1756" t="str">
            <v>005</v>
          </cell>
        </row>
        <row r="1757">
          <cell r="A1757" t="str">
            <v>Услуги связи </v>
          </cell>
          <cell r="B1757" t="str">
            <v>902</v>
          </cell>
          <cell r="C1757" t="str">
            <v>10</v>
          </cell>
          <cell r="D1757" t="str">
            <v>06</v>
          </cell>
          <cell r="E1757" t="str">
            <v>001 00 00</v>
          </cell>
          <cell r="F1757" t="str">
            <v>005</v>
          </cell>
        </row>
        <row r="1758">
          <cell r="A1758" t="str">
            <v>Транспортные услуги</v>
          </cell>
          <cell r="B1758" t="str">
            <v>902</v>
          </cell>
          <cell r="C1758" t="str">
            <v>10</v>
          </cell>
          <cell r="D1758" t="str">
            <v>06</v>
          </cell>
          <cell r="E1758" t="str">
            <v>001 00 00</v>
          </cell>
          <cell r="F1758" t="str">
            <v>005</v>
          </cell>
        </row>
        <row r="1759">
          <cell r="A1759" t="str">
            <v>Коммунальные услуги</v>
          </cell>
          <cell r="B1759" t="str">
            <v>902</v>
          </cell>
          <cell r="C1759" t="str">
            <v>10</v>
          </cell>
          <cell r="D1759" t="str">
            <v>06</v>
          </cell>
          <cell r="E1759" t="str">
            <v>001 00 00</v>
          </cell>
          <cell r="F1759" t="str">
            <v>005</v>
          </cell>
        </row>
        <row r="1760">
          <cell r="A1760" t="str">
            <v>Арендная плата за пользование иммуществом </v>
          </cell>
          <cell r="B1760" t="str">
            <v>902</v>
          </cell>
          <cell r="C1760" t="str">
            <v>10</v>
          </cell>
          <cell r="D1760" t="str">
            <v>06</v>
          </cell>
          <cell r="E1760" t="str">
            <v>001 00 00</v>
          </cell>
          <cell r="F1760" t="str">
            <v>005</v>
          </cell>
        </row>
        <row r="1761">
          <cell r="A1761" t="str">
            <v>Услуги по содержанию иммущества</v>
          </cell>
          <cell r="B1761" t="str">
            <v>902</v>
          </cell>
          <cell r="C1761" t="str">
            <v>10</v>
          </cell>
          <cell r="D1761" t="str">
            <v>06</v>
          </cell>
          <cell r="E1761" t="str">
            <v>001 00 00</v>
          </cell>
          <cell r="F1761" t="str">
            <v>005</v>
          </cell>
        </row>
        <row r="1762">
          <cell r="A1762" t="str">
            <v>Прочие услуги</v>
          </cell>
          <cell r="B1762" t="str">
            <v>902</v>
          </cell>
          <cell r="C1762" t="str">
            <v>10</v>
          </cell>
          <cell r="D1762" t="str">
            <v>06</v>
          </cell>
          <cell r="E1762" t="str">
            <v>001 00 00</v>
          </cell>
          <cell r="F1762" t="str">
            <v>005</v>
          </cell>
        </row>
        <row r="1763">
          <cell r="A1763" t="str">
            <v>Прочие расходы </v>
          </cell>
          <cell r="B1763" t="str">
            <v>902</v>
          </cell>
          <cell r="C1763" t="str">
            <v>10</v>
          </cell>
          <cell r="D1763" t="str">
            <v>06</v>
          </cell>
          <cell r="E1763" t="str">
            <v>001 00 00 </v>
          </cell>
          <cell r="F1763" t="str">
            <v>005</v>
          </cell>
        </row>
        <row r="1764">
          <cell r="A1764" t="str">
            <v>Поступление нефинансовых активов</v>
          </cell>
          <cell r="B1764" t="str">
            <v>902</v>
          </cell>
          <cell r="C1764" t="str">
            <v>10</v>
          </cell>
          <cell r="D1764" t="str">
            <v>06</v>
          </cell>
          <cell r="E1764" t="str">
            <v>001 00 00</v>
          </cell>
          <cell r="F1764" t="str">
            <v>005</v>
          </cell>
        </row>
        <row r="1765">
          <cell r="A1765" t="str">
            <v>Увеличение стоимости основных средств</v>
          </cell>
          <cell r="B1765" t="str">
            <v>902</v>
          </cell>
          <cell r="C1765" t="str">
            <v>10</v>
          </cell>
          <cell r="D1765" t="str">
            <v>06</v>
          </cell>
          <cell r="E1765" t="str">
            <v>001 00 00</v>
          </cell>
          <cell r="F1765" t="str">
            <v>005</v>
          </cell>
        </row>
        <row r="1766">
          <cell r="A1766" t="str">
            <v>Увеличение стоимости материальных запасов</v>
          </cell>
          <cell r="B1766" t="str">
            <v>902</v>
          </cell>
          <cell r="C1766" t="str">
            <v>10</v>
          </cell>
          <cell r="D1766" t="str">
            <v>06</v>
          </cell>
          <cell r="E1766" t="str">
            <v>001 00 00</v>
          </cell>
          <cell r="F1766" t="str">
            <v>005</v>
          </cell>
        </row>
        <row r="1767">
          <cell r="A1767" t="str">
            <v>Региональные целевые программы</v>
          </cell>
          <cell r="B1767" t="str">
            <v>902</v>
          </cell>
          <cell r="C1767" t="str">
            <v>10</v>
          </cell>
          <cell r="D1767" t="str">
            <v>06</v>
          </cell>
          <cell r="E1767" t="str">
            <v>000 00 00</v>
          </cell>
          <cell r="F1767" t="str">
            <v>000 </v>
          </cell>
        </row>
        <row r="1768">
          <cell r="A1768" t="str">
            <v>Мероприятия в области социальной политики </v>
          </cell>
          <cell r="B1768" t="str">
            <v>902</v>
          </cell>
          <cell r="C1768" t="str">
            <v>10</v>
          </cell>
          <cell r="D1768" t="str">
            <v>06</v>
          </cell>
          <cell r="E1768" t="str">
            <v>522 00 00</v>
          </cell>
          <cell r="F1768" t="str">
            <v>482</v>
          </cell>
        </row>
        <row r="1769">
          <cell r="A1769" t="str">
            <v>Прочие расходы </v>
          </cell>
          <cell r="B1769" t="str">
            <v>902</v>
          </cell>
          <cell r="C1769" t="str">
            <v>10</v>
          </cell>
          <cell r="D1769" t="str">
            <v>06</v>
          </cell>
          <cell r="E1769" t="str">
            <v>522 00 00</v>
          </cell>
          <cell r="F1769" t="str">
            <v>482</v>
          </cell>
        </row>
        <row r="1770">
          <cell r="A1770" t="str">
            <v>Социальное обеспечение населения </v>
          </cell>
          <cell r="C1770" t="str">
            <v>10</v>
          </cell>
          <cell r="D1770" t="str">
            <v>03</v>
          </cell>
          <cell r="E1770" t="str">
            <v>000 00 00</v>
          </cell>
          <cell r="F1770" t="str">
            <v>000</v>
          </cell>
        </row>
        <row r="1771">
          <cell r="C1771" t="str">
            <v>10</v>
          </cell>
          <cell r="D1771" t="str">
            <v>03</v>
          </cell>
          <cell r="E1771" t="str">
            <v>000 00 00</v>
          </cell>
          <cell r="F1771" t="str">
            <v>000</v>
          </cell>
        </row>
        <row r="1772">
          <cell r="A1772" t="str">
            <v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v>
          </cell>
          <cell r="B1772" t="str">
            <v>902</v>
          </cell>
          <cell r="C1772" t="str">
            <v>10</v>
          </cell>
          <cell r="D1772" t="str">
            <v>03</v>
          </cell>
          <cell r="E1772" t="str">
            <v>002 00 00</v>
          </cell>
          <cell r="F1772" t="str">
            <v>000</v>
          </cell>
        </row>
        <row r="1773">
          <cell r="A1773" t="str">
            <v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v>
          </cell>
          <cell r="B1773" t="str">
            <v>902</v>
          </cell>
          <cell r="C1773" t="str">
            <v>10</v>
          </cell>
          <cell r="D1773" t="str">
            <v>03</v>
          </cell>
          <cell r="E1773" t="str">
            <v>002 47 01</v>
          </cell>
          <cell r="F1773" t="str">
            <v>000</v>
          </cell>
        </row>
        <row r="1774">
          <cell r="A1774" t="str">
            <v>Социальные выплаты</v>
          </cell>
          <cell r="B1774" t="str">
            <v>902</v>
          </cell>
          <cell r="C1774" t="str">
            <v>10</v>
          </cell>
          <cell r="D1774" t="str">
            <v>03</v>
          </cell>
          <cell r="E1774" t="str">
            <v>002 47 01</v>
          </cell>
          <cell r="F1774" t="str">
            <v>005</v>
          </cell>
        </row>
        <row r="1775">
          <cell r="A1775" t="str">
            <v>Приобретение услуг</v>
          </cell>
          <cell r="B1775" t="str">
            <v>902</v>
          </cell>
          <cell r="C1775" t="str">
            <v>10</v>
          </cell>
          <cell r="D1775" t="str">
            <v>03</v>
          </cell>
          <cell r="E1775" t="str">
            <v>002 47 01</v>
          </cell>
          <cell r="F1775" t="str">
            <v>500</v>
          </cell>
        </row>
        <row r="1776">
          <cell r="A1776" t="str">
            <v>Заработная плата</v>
          </cell>
          <cell r="B1776" t="str">
            <v>902</v>
          </cell>
          <cell r="C1776" t="str">
            <v>10</v>
          </cell>
          <cell r="D1776" t="str">
            <v>03</v>
          </cell>
          <cell r="E1776" t="str">
            <v>002 47 01</v>
          </cell>
          <cell r="F1776" t="str">
            <v>500</v>
          </cell>
        </row>
        <row r="1777">
          <cell r="A1777" t="str">
            <v>Прочие выплаты</v>
          </cell>
          <cell r="B1777" t="str">
            <v>902</v>
          </cell>
          <cell r="C1777" t="str">
            <v>10</v>
          </cell>
          <cell r="D1777" t="str">
            <v>03</v>
          </cell>
          <cell r="E1777" t="str">
            <v>002 47 01</v>
          </cell>
          <cell r="F1777" t="str">
            <v>500</v>
          </cell>
        </row>
        <row r="1778">
          <cell r="A1778" t="str">
            <v>Начисление на оплату труда</v>
          </cell>
          <cell r="B1778" t="str">
            <v>902</v>
          </cell>
          <cell r="C1778" t="str">
            <v>10</v>
          </cell>
          <cell r="D1778" t="str">
            <v>03</v>
          </cell>
          <cell r="E1778" t="str">
            <v>002 47 01</v>
          </cell>
          <cell r="F1778" t="str">
            <v>500</v>
          </cell>
        </row>
        <row r="1779">
          <cell r="A1779" t="str">
            <v>Приобретение услуг</v>
          </cell>
          <cell r="B1779" t="str">
            <v>902</v>
          </cell>
          <cell r="C1779" t="str">
            <v>10</v>
          </cell>
          <cell r="D1779" t="str">
            <v>03</v>
          </cell>
          <cell r="E1779" t="str">
            <v>002 47 01</v>
          </cell>
          <cell r="F1779" t="str">
            <v>500</v>
          </cell>
        </row>
        <row r="1780">
          <cell r="A1780" t="str">
            <v>Услуги связи </v>
          </cell>
          <cell r="B1780" t="str">
            <v>902</v>
          </cell>
          <cell r="C1780" t="str">
            <v>10</v>
          </cell>
          <cell r="D1780" t="str">
            <v>03</v>
          </cell>
          <cell r="E1780" t="str">
            <v>002 47 01</v>
          </cell>
          <cell r="F1780" t="str">
            <v>500</v>
          </cell>
        </row>
        <row r="1781">
          <cell r="A1781" t="str">
            <v>Прочие услуги</v>
          </cell>
          <cell r="B1781" t="str">
            <v>902</v>
          </cell>
          <cell r="C1781" t="str">
            <v>10</v>
          </cell>
          <cell r="D1781" t="str">
            <v>03</v>
          </cell>
          <cell r="E1781" t="str">
            <v>002 47 01</v>
          </cell>
          <cell r="F1781" t="str">
            <v>500</v>
          </cell>
        </row>
        <row r="1782">
          <cell r="A1782" t="str">
            <v>Поступление нефинансовых активов</v>
          </cell>
          <cell r="B1782" t="str">
            <v>902</v>
          </cell>
          <cell r="C1782" t="str">
            <v>10</v>
          </cell>
          <cell r="D1782" t="str">
            <v>03</v>
          </cell>
          <cell r="E1782" t="str">
            <v>002 47 01</v>
          </cell>
          <cell r="F1782" t="str">
            <v>500</v>
          </cell>
        </row>
        <row r="1783">
          <cell r="A1783" t="str">
            <v>Увеличение стоймости основных средств</v>
          </cell>
          <cell r="B1783" t="str">
            <v>902</v>
          </cell>
          <cell r="C1783" t="str">
            <v>10</v>
          </cell>
          <cell r="D1783" t="str">
            <v>03</v>
          </cell>
          <cell r="E1783" t="str">
            <v>002 47 01</v>
          </cell>
          <cell r="F1783" t="str">
            <v>500</v>
          </cell>
        </row>
        <row r="1784">
          <cell r="A1784" t="str">
            <v>Увеличение стоимости материальных запасов</v>
          </cell>
          <cell r="B1784" t="str">
            <v>902</v>
          </cell>
          <cell r="C1784" t="str">
            <v>10</v>
          </cell>
          <cell r="D1784" t="str">
            <v>03</v>
          </cell>
          <cell r="E1784" t="str">
            <v>002 47 01</v>
          </cell>
          <cell r="F1784" t="str">
            <v>500</v>
          </cell>
        </row>
        <row r="1785">
          <cell r="B1785" t="str">
            <v>902</v>
          </cell>
          <cell r="C1785" t="str">
            <v>10</v>
          </cell>
          <cell r="D1785" t="str">
            <v>03</v>
          </cell>
          <cell r="E1785" t="str">
            <v>002 47 00</v>
          </cell>
          <cell r="F1785" t="str">
            <v>000</v>
          </cell>
        </row>
        <row r="1786">
          <cell r="A1786" t="str">
            <v>Осуществление областных государственных полномочий по предоставлению гражданам субсидий на оплату жилых помещений и коммунальных услуг</v>
          </cell>
          <cell r="B1786" t="str">
            <v>902</v>
          </cell>
          <cell r="C1786" t="str">
            <v>10</v>
          </cell>
          <cell r="D1786" t="str">
            <v>03</v>
          </cell>
          <cell r="E1786" t="str">
            <v>002 47 02</v>
          </cell>
          <cell r="F1786" t="str">
            <v>000</v>
          </cell>
        </row>
        <row r="1787">
          <cell r="A1787" t="str">
            <v>Социальные выплаты</v>
          </cell>
          <cell r="B1787" t="str">
            <v>902</v>
          </cell>
          <cell r="C1787" t="str">
            <v>10</v>
          </cell>
          <cell r="D1787" t="str">
            <v>03</v>
          </cell>
          <cell r="E1787" t="str">
            <v>002 47 02</v>
          </cell>
          <cell r="F1787" t="str">
            <v>005</v>
          </cell>
        </row>
        <row r="1788">
          <cell r="A1788" t="str">
            <v>Расходы</v>
          </cell>
          <cell r="B1788" t="str">
            <v>902</v>
          </cell>
          <cell r="C1788" t="str">
            <v>10</v>
          </cell>
          <cell r="D1788" t="str">
            <v>03</v>
          </cell>
          <cell r="E1788" t="str">
            <v>002 47 02</v>
          </cell>
          <cell r="F1788" t="str">
            <v>005</v>
          </cell>
        </row>
        <row r="1789">
          <cell r="A1789" t="str">
            <v>Приобретение работ, услуг</v>
          </cell>
          <cell r="B1789" t="str">
            <v>902</v>
          </cell>
          <cell r="C1789" t="str">
            <v>10</v>
          </cell>
          <cell r="D1789" t="str">
            <v>03</v>
          </cell>
          <cell r="E1789" t="str">
            <v>002 47 02</v>
          </cell>
          <cell r="F1789" t="str">
            <v>005</v>
          </cell>
        </row>
        <row r="1790">
          <cell r="A1790" t="str">
            <v>Услуги связи</v>
          </cell>
          <cell r="B1790" t="str">
            <v>902</v>
          </cell>
          <cell r="C1790" t="str">
            <v>10</v>
          </cell>
          <cell r="D1790" t="str">
            <v>03</v>
          </cell>
          <cell r="E1790" t="str">
            <v>002 47 02</v>
          </cell>
          <cell r="F1790" t="str">
            <v>005</v>
          </cell>
        </row>
        <row r="1791">
          <cell r="A1791" t="str">
            <v>Прочие работы, услуги</v>
          </cell>
          <cell r="B1791" t="str">
            <v>902</v>
          </cell>
          <cell r="C1791" t="str">
            <v>10</v>
          </cell>
          <cell r="D1791" t="str">
            <v>03</v>
          </cell>
          <cell r="E1791" t="str">
            <v>002 47 02</v>
          </cell>
          <cell r="F1791" t="str">
            <v>005</v>
          </cell>
        </row>
        <row r="1792">
          <cell r="A1792" t="str">
            <v>Социальное обеспечение</v>
          </cell>
          <cell r="B1792" t="str">
            <v>902</v>
          </cell>
          <cell r="C1792" t="str">
            <v>10</v>
          </cell>
          <cell r="D1792" t="str">
            <v>03</v>
          </cell>
          <cell r="E1792" t="str">
            <v>002 47 02</v>
          </cell>
          <cell r="F1792" t="str">
            <v>005</v>
          </cell>
        </row>
        <row r="1793">
          <cell r="A1793" t="str">
            <v>Пособия по социальной помощи населению</v>
          </cell>
          <cell r="B1793" t="str">
            <v>902</v>
          </cell>
          <cell r="C1793" t="str">
            <v>10</v>
          </cell>
          <cell r="D1793" t="str">
            <v>03</v>
          </cell>
          <cell r="E1793" t="str">
            <v>002 47 02</v>
          </cell>
          <cell r="F1793" t="str">
            <v>005</v>
          </cell>
        </row>
        <row r="1794">
          <cell r="A1794" t="str">
            <v>Поступление нефинансовых активов</v>
          </cell>
          <cell r="B1794" t="str">
            <v>902</v>
          </cell>
          <cell r="C1794" t="str">
            <v>10</v>
          </cell>
          <cell r="D1794" t="str">
            <v>03</v>
          </cell>
          <cell r="E1794" t="str">
            <v>521 02 09</v>
          </cell>
          <cell r="F1794" t="str">
            <v>005</v>
          </cell>
        </row>
        <row r="1795">
          <cell r="A1795" t="str">
            <v>Увеличение стоимости материальных запасов</v>
          </cell>
          <cell r="B1795" t="str">
            <v>902</v>
          </cell>
          <cell r="C1795" t="str">
            <v>10</v>
          </cell>
          <cell r="D1795" t="str">
            <v>03</v>
          </cell>
          <cell r="E1795" t="str">
            <v>521 02 09</v>
          </cell>
          <cell r="F1795" t="str">
            <v>005</v>
          </cell>
        </row>
        <row r="1796">
          <cell r="A1796" t="str">
            <v>Субвенции на осуществление органами местного самоуправления областных государственных полномочий по предоставлению мер социальной поддержки многодетным и малоимущим семьям</v>
          </cell>
          <cell r="B1796" t="str">
            <v>903</v>
          </cell>
          <cell r="C1796" t="str">
            <v>10</v>
          </cell>
          <cell r="D1796" t="str">
            <v>03</v>
          </cell>
          <cell r="E1796" t="str">
            <v>002 46 00</v>
          </cell>
          <cell r="F1796" t="str">
            <v>000</v>
          </cell>
        </row>
        <row r="1797">
          <cell r="A1797" t="str">
            <v>Социальные выплаты</v>
          </cell>
          <cell r="B1797" t="str">
            <v>903</v>
          </cell>
          <cell r="C1797" t="str">
            <v>10</v>
          </cell>
          <cell r="D1797" t="str">
            <v>03</v>
          </cell>
          <cell r="E1797" t="str">
            <v>505 85 05</v>
          </cell>
          <cell r="F1797" t="str">
            <v>005</v>
          </cell>
        </row>
        <row r="1798">
          <cell r="A1798" t="str">
            <v>Расходы</v>
          </cell>
          <cell r="B1798" t="str">
            <v>903</v>
          </cell>
          <cell r="C1798" t="str">
            <v>10</v>
          </cell>
          <cell r="D1798" t="str">
            <v>03</v>
          </cell>
          <cell r="E1798" t="str">
            <v>505 85 05</v>
          </cell>
          <cell r="F1798" t="str">
            <v>005</v>
          </cell>
        </row>
        <row r="1799">
          <cell r="A1799" t="str">
            <v>Социальное обеспечение</v>
          </cell>
          <cell r="B1799" t="str">
            <v>903</v>
          </cell>
          <cell r="C1799" t="str">
            <v>10</v>
          </cell>
          <cell r="D1799" t="str">
            <v>03</v>
          </cell>
          <cell r="E1799" t="str">
            <v>505 85 05</v>
          </cell>
          <cell r="F1799" t="str">
            <v>005</v>
          </cell>
        </row>
        <row r="1800">
          <cell r="A1800" t="str">
            <v>Пособия по социальной помощи населению</v>
          </cell>
          <cell r="B1800" t="str">
            <v>903</v>
          </cell>
          <cell r="C1800" t="str">
            <v>10</v>
          </cell>
          <cell r="D1800" t="str">
            <v>03</v>
          </cell>
          <cell r="E1800" t="str">
            <v>505 85 05</v>
          </cell>
          <cell r="F1800" t="str">
            <v>005</v>
          </cell>
        </row>
        <row r="1801">
          <cell r="A1801" t="str">
            <v>Социальные выплаты</v>
          </cell>
          <cell r="B1801" t="str">
            <v>903</v>
          </cell>
          <cell r="C1801" t="str">
            <v>10</v>
          </cell>
          <cell r="D1801" t="str">
            <v>03</v>
          </cell>
          <cell r="E1801" t="str">
            <v>002 46 00</v>
          </cell>
          <cell r="F1801" t="str">
            <v>000</v>
          </cell>
        </row>
        <row r="1802">
          <cell r="A1802" t="str">
            <v>Расходы</v>
          </cell>
          <cell r="B1802" t="str">
            <v>903</v>
          </cell>
          <cell r="C1802" t="str">
            <v>10</v>
          </cell>
          <cell r="D1802" t="str">
            <v>03</v>
          </cell>
          <cell r="E1802" t="str">
            <v>002 46 00</v>
          </cell>
          <cell r="F1802" t="str">
            <v>005</v>
          </cell>
        </row>
        <row r="1803">
          <cell r="A1803" t="str">
            <v>Социальное обеспечение</v>
          </cell>
          <cell r="B1803" t="str">
            <v>903</v>
          </cell>
          <cell r="C1803" t="str">
            <v>10</v>
          </cell>
          <cell r="D1803" t="str">
            <v>03</v>
          </cell>
          <cell r="E1803" t="str">
            <v>002 46 00</v>
          </cell>
          <cell r="F1803" t="str">
            <v>000</v>
          </cell>
        </row>
        <row r="1804">
          <cell r="A1804" t="str">
            <v>Осуществление отдельных областных государственных полномочий по предоставлению мер социальной поддержки многодетным и малоимущим семьям</v>
          </cell>
          <cell r="B1804" t="str">
            <v>903</v>
          </cell>
          <cell r="C1804" t="str">
            <v>10</v>
          </cell>
          <cell r="D1804" t="str">
            <v>03</v>
          </cell>
          <cell r="E1804" t="str">
            <v>002 46 00</v>
          </cell>
          <cell r="F1804" t="str">
            <v>000</v>
          </cell>
        </row>
        <row r="1805">
          <cell r="A1805" t="str">
            <v>Пособия по социальной помощи населению</v>
          </cell>
          <cell r="C1805" t="str">
            <v>10</v>
          </cell>
          <cell r="D1805" t="str">
            <v>04</v>
          </cell>
          <cell r="E1805" t="str">
            <v>000 00 00</v>
          </cell>
          <cell r="F1805" t="str">
            <v>000</v>
          </cell>
        </row>
        <row r="1806">
          <cell r="A1806" t="str">
            <v>Пособия по социальной помощи населению</v>
          </cell>
          <cell r="C1806" t="str">
            <v>10</v>
          </cell>
          <cell r="D1806" t="str">
            <v>04</v>
          </cell>
          <cell r="E1806" t="str">
            <v>795 00 00</v>
          </cell>
          <cell r="F1806" t="str">
            <v>000</v>
          </cell>
        </row>
        <row r="1807">
          <cell r="A1807" t="str">
            <v>Пособия по социальной помощи населению</v>
          </cell>
          <cell r="C1807" t="str">
            <v>10</v>
          </cell>
          <cell r="D1807" t="str">
            <v>04</v>
          </cell>
          <cell r="E1807" t="str">
            <v>795 00 00</v>
          </cell>
          <cell r="F1807" t="str">
            <v>500</v>
          </cell>
        </row>
        <row r="1808">
          <cell r="A1808" t="str">
            <v>Пособия по социальной помощи населению</v>
          </cell>
          <cell r="B1808" t="str">
            <v>904</v>
          </cell>
          <cell r="C1808" t="str">
            <v>10</v>
          </cell>
          <cell r="D1808" t="str">
            <v>04</v>
          </cell>
          <cell r="E1808" t="str">
            <v>795 00 00</v>
          </cell>
          <cell r="F1808" t="str">
            <v>500</v>
          </cell>
        </row>
        <row r="1809">
          <cell r="A1809" t="str">
            <v>Пособия по социальной помощи населению</v>
          </cell>
          <cell r="B1809" t="str">
            <v>902</v>
          </cell>
          <cell r="C1809" t="str">
            <v>10</v>
          </cell>
          <cell r="D1809" t="str">
            <v>04</v>
          </cell>
          <cell r="E1809" t="str">
            <v>795 00 00</v>
          </cell>
          <cell r="F1809" t="str">
            <v>500</v>
          </cell>
        </row>
        <row r="1810">
          <cell r="A1810" t="str">
            <v>Пособия по социальной помощи населению</v>
          </cell>
          <cell r="B1810" t="str">
            <v>905</v>
          </cell>
          <cell r="C1810" t="str">
            <v>10</v>
          </cell>
          <cell r="D1810" t="str">
            <v>04</v>
          </cell>
          <cell r="E1810" t="str">
            <v>795 00 00</v>
          </cell>
          <cell r="F1810" t="str">
            <v>500</v>
          </cell>
        </row>
        <row r="1811">
          <cell r="A1811" t="str">
            <v>Пособия по социальной помощи населению</v>
          </cell>
          <cell r="B1811" t="str">
            <v>903</v>
          </cell>
          <cell r="C1811" t="str">
            <v>10</v>
          </cell>
          <cell r="D1811" t="str">
            <v>04</v>
          </cell>
          <cell r="E1811" t="str">
            <v>795 00 00</v>
          </cell>
          <cell r="F1811" t="str">
            <v>500</v>
          </cell>
        </row>
        <row r="1812">
          <cell r="A1812" t="str">
            <v>Пособия по социальной помощи населению</v>
          </cell>
          <cell r="B1812" t="str">
            <v>902</v>
          </cell>
          <cell r="C1812" t="str">
            <v>10</v>
          </cell>
          <cell r="D1812" t="str">
            <v>04</v>
          </cell>
          <cell r="E1812" t="str">
            <v>795 00 00</v>
          </cell>
          <cell r="F1812" t="str">
            <v>500</v>
          </cell>
        </row>
        <row r="1813">
          <cell r="A1813" t="str">
            <v>Социальные выплаты ОБ</v>
          </cell>
          <cell r="B1813" t="str">
            <v>903</v>
          </cell>
          <cell r="C1813" t="str">
            <v>10</v>
          </cell>
          <cell r="D1813" t="str">
            <v>03</v>
          </cell>
          <cell r="E1813" t="str">
            <v>002 46 00</v>
          </cell>
          <cell r="F1813" t="str">
            <v>005</v>
          </cell>
        </row>
        <row r="1814">
          <cell r="A1814" t="str">
            <v>Субсидии некоммерческим организациям ОБ</v>
          </cell>
          <cell r="B1814" t="str">
            <v>903</v>
          </cell>
          <cell r="C1814" t="str">
            <v>10</v>
          </cell>
          <cell r="D1814" t="str">
            <v>03</v>
          </cell>
          <cell r="E1814" t="str">
            <v>002 46 00</v>
          </cell>
          <cell r="F1814" t="str">
            <v>019</v>
          </cell>
        </row>
        <row r="1815">
          <cell r="A1815" t="str">
            <v>Пособия по социальной помощи населению МБ</v>
          </cell>
          <cell r="B1815" t="str">
            <v>903</v>
          </cell>
          <cell r="C1815" t="str">
            <v>10</v>
          </cell>
          <cell r="D1815" t="str">
            <v>03</v>
          </cell>
          <cell r="E1815" t="str">
            <v>002 46 01</v>
          </cell>
          <cell r="F1815" t="str">
            <v>500</v>
          </cell>
        </row>
        <row r="1816">
          <cell r="A1816" t="str">
            <v>Поступление нефинансовых активов</v>
          </cell>
          <cell r="B1816" t="str">
            <v>903</v>
          </cell>
          <cell r="C1816" t="str">
            <v>10</v>
          </cell>
          <cell r="D1816" t="str">
            <v>03</v>
          </cell>
          <cell r="E1816" t="str">
            <v>002 46 00</v>
          </cell>
          <cell r="F1816" t="str">
            <v>000</v>
          </cell>
        </row>
        <row r="1817">
          <cell r="A1817" t="str">
            <v>Увеличение стоймости основных средств</v>
          </cell>
          <cell r="B1817" t="str">
            <v>903</v>
          </cell>
          <cell r="C1817" t="str">
            <v>10</v>
          </cell>
          <cell r="D1817" t="str">
            <v>03</v>
          </cell>
          <cell r="E1817" t="str">
            <v>002 46 00</v>
          </cell>
          <cell r="F1817" t="str">
            <v>005</v>
          </cell>
        </row>
        <row r="1818">
          <cell r="A1818" t="str">
            <v>Увеличение стоимости материальных запасов</v>
          </cell>
          <cell r="B1818" t="str">
            <v>903</v>
          </cell>
          <cell r="C1818" t="str">
            <v>10</v>
          </cell>
          <cell r="D1818" t="str">
            <v>03</v>
          </cell>
          <cell r="E1818" t="str">
            <v>002 46 01</v>
          </cell>
          <cell r="F1818" t="str">
            <v>500</v>
          </cell>
        </row>
        <row r="1819">
          <cell r="A1819" t="str">
            <v>Субсидии некоммерческим организациям МБ</v>
          </cell>
          <cell r="B1819" t="str">
            <v>903</v>
          </cell>
          <cell r="C1819" t="str">
            <v>10</v>
          </cell>
          <cell r="D1819" t="str">
            <v>03</v>
          </cell>
          <cell r="E1819" t="str">
            <v>002 46 01</v>
          </cell>
          <cell r="F1819" t="str">
            <v>019</v>
          </cell>
        </row>
        <row r="1820">
          <cell r="A1820" t="str">
            <v>Целевые программы муниципальных образований </v>
          </cell>
          <cell r="B1820" t="str">
            <v>902</v>
          </cell>
          <cell r="C1820" t="str">
            <v>10</v>
          </cell>
          <cell r="D1820" t="str">
            <v>03</v>
          </cell>
          <cell r="E1820" t="str">
            <v>795 00 00</v>
          </cell>
          <cell r="F1820" t="str">
            <v>000</v>
          </cell>
        </row>
        <row r="1821">
          <cell r="A1821" t="str">
            <v>Молодым семьям-доступное жилье2007-2019 гг</v>
          </cell>
          <cell r="B1821" t="str">
            <v>902</v>
          </cell>
          <cell r="C1821" t="str">
            <v>10</v>
          </cell>
          <cell r="D1821" t="str">
            <v>03</v>
          </cell>
          <cell r="E1821" t="str">
            <v>795 30 00</v>
          </cell>
          <cell r="F1821" t="str">
            <v>000</v>
          </cell>
        </row>
        <row r="1822">
          <cell r="A1822" t="str">
            <v>Поступление нефинансовых активов</v>
          </cell>
          <cell r="B1822" t="str">
            <v>902</v>
          </cell>
          <cell r="C1822" t="str">
            <v>10</v>
          </cell>
          <cell r="D1822" t="str">
            <v>03</v>
          </cell>
          <cell r="E1822" t="str">
            <v>795 00 00</v>
          </cell>
          <cell r="F1822" t="str">
            <v>500</v>
          </cell>
        </row>
        <row r="1823">
          <cell r="A1823" t="str">
            <v>Выполнение функций органами местного самоуправления</v>
          </cell>
          <cell r="B1823" t="str">
            <v>902</v>
          </cell>
          <cell r="C1823" t="str">
            <v>10</v>
          </cell>
          <cell r="D1823" t="str">
            <v>03</v>
          </cell>
          <cell r="E1823" t="str">
            <v>795 30 00</v>
          </cell>
          <cell r="F1823" t="str">
            <v>500</v>
          </cell>
        </row>
        <row r="1824">
          <cell r="A1824" t="str">
            <v>Охрана семьи и детства</v>
          </cell>
          <cell r="B1824" t="str">
            <v>902</v>
          </cell>
          <cell r="C1824" t="str">
            <v>10</v>
          </cell>
          <cell r="D1824" t="str">
            <v>04</v>
          </cell>
          <cell r="E1824" t="str">
            <v>000 00 00</v>
          </cell>
          <cell r="F1824" t="str">
            <v>000</v>
          </cell>
        </row>
        <row r="1825">
          <cell r="A1825" t="str">
            <v>Руководство и управление в сфере установленных функций органов государственной власти субъектов РФ и органов местного самоуправления</v>
          </cell>
          <cell r="B1825" t="str">
            <v>902</v>
          </cell>
          <cell r="C1825" t="str">
            <v>10</v>
          </cell>
          <cell r="D1825" t="str">
            <v>04</v>
          </cell>
          <cell r="E1825" t="str">
            <v>002 00 00</v>
          </cell>
          <cell r="F1825" t="str">
            <v>000</v>
          </cell>
        </row>
        <row r="1826">
          <cell r="A1826" t="str">
            <v>Осуществление областных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социального найма в Иркутской </v>
          </cell>
          <cell r="B1826" t="str">
            <v>902</v>
          </cell>
          <cell r="C1826" t="str">
            <v>10</v>
          </cell>
          <cell r="D1826" t="str">
            <v>04</v>
          </cell>
          <cell r="E1826" t="str">
            <v>002 48 00</v>
          </cell>
          <cell r="F1826" t="str">
            <v>000</v>
          </cell>
        </row>
        <row r="1827">
          <cell r="A1827" t="str">
            <v>Содержание и обеспечение деятельности муниципальных служащих, осуществляющих областные государственные полномочия по обеспечению детей-сирот и детей, оставшихся без попечения родителей, лиц из числа детей-сирот и детей, оставшихся без попечения родителей,</v>
          </cell>
          <cell r="B1827" t="str">
            <v>902</v>
          </cell>
          <cell r="C1827" t="str">
            <v>10</v>
          </cell>
          <cell r="D1827" t="str">
            <v>04</v>
          </cell>
          <cell r="E1827" t="str">
            <v>002 48 01</v>
          </cell>
          <cell r="F1827" t="str">
            <v>000</v>
          </cell>
        </row>
        <row r="1828">
          <cell r="A1828" t="str">
            <v>Фонд компенсаций</v>
          </cell>
          <cell r="B1828" t="str">
            <v>902</v>
          </cell>
          <cell r="C1828" t="str">
            <v>10</v>
          </cell>
          <cell r="D1828" t="str">
            <v>04</v>
          </cell>
          <cell r="E1828" t="str">
            <v>002 48 01</v>
          </cell>
          <cell r="F1828" t="str">
            <v>009</v>
          </cell>
        </row>
        <row r="1829">
          <cell r="A1829" t="str">
            <v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социального найма в Иркутской области</v>
          </cell>
          <cell r="B1829" t="str">
            <v>902</v>
          </cell>
          <cell r="C1829" t="str">
            <v>10</v>
          </cell>
          <cell r="D1829" t="str">
            <v>04</v>
          </cell>
          <cell r="E1829" t="str">
            <v>002 48 02</v>
          </cell>
          <cell r="F1829" t="str">
            <v>000</v>
          </cell>
        </row>
        <row r="1830">
          <cell r="B1830" t="str">
            <v>902</v>
          </cell>
          <cell r="C1830" t="str">
            <v>10</v>
          </cell>
          <cell r="D1830" t="str">
            <v>04</v>
          </cell>
        </row>
        <row r="1831">
          <cell r="A1831" t="str">
            <v>Фонд компенсаций</v>
          </cell>
          <cell r="B1831" t="str">
            <v>902</v>
          </cell>
          <cell r="C1831" t="str">
            <v>10</v>
          </cell>
          <cell r="D1831" t="str">
            <v>04</v>
          </cell>
          <cell r="E1831" t="str">
            <v>002 48 02</v>
          </cell>
          <cell r="F1831" t="str">
            <v>009</v>
          </cell>
        </row>
        <row r="1832">
          <cell r="A1832" t="str">
            <v>Другие вопросы в области социальной политики</v>
          </cell>
          <cell r="B1832" t="str">
            <v>902</v>
          </cell>
          <cell r="C1832" t="str">
            <v>10</v>
          </cell>
          <cell r="D1832" t="str">
            <v>06</v>
          </cell>
          <cell r="E1832" t="str">
            <v>000 00 00</v>
          </cell>
          <cell r="F1832" t="str">
            <v>000 </v>
          </cell>
        </row>
        <row r="1833">
          <cell r="A1833" t="str">
            <v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v>
          </cell>
          <cell r="B1833" t="str">
            <v>902</v>
          </cell>
          <cell r="C1833" t="str">
            <v>10</v>
          </cell>
          <cell r="D1833" t="str">
            <v>06</v>
          </cell>
          <cell r="E1833" t="str">
            <v>002 00 00</v>
          </cell>
          <cell r="F1833" t="str">
            <v>000</v>
          </cell>
        </row>
        <row r="1834">
          <cell r="A1834" t="str">
            <v>Центральный аппарат</v>
          </cell>
          <cell r="B1834" t="str">
            <v>902</v>
          </cell>
          <cell r="C1834" t="str">
            <v>10</v>
          </cell>
          <cell r="D1834" t="str">
            <v>06</v>
          </cell>
          <cell r="E1834" t="str">
            <v>002 00 00</v>
          </cell>
          <cell r="F1834" t="str">
            <v>000</v>
          </cell>
        </row>
        <row r="1835">
          <cell r="A1835" t="str">
            <v>Выполнение функций органами местного самоуправления</v>
          </cell>
          <cell r="B1835" t="str">
            <v>902</v>
          </cell>
          <cell r="C1835" t="str">
            <v>10</v>
          </cell>
          <cell r="D1835" t="str">
            <v>06</v>
          </cell>
          <cell r="E1835" t="str">
            <v>002 00 00</v>
          </cell>
          <cell r="F1835" t="str">
            <v>500</v>
          </cell>
        </row>
        <row r="1836">
          <cell r="A1836" t="str">
            <v>Расходы</v>
          </cell>
          <cell r="B1836" t="str">
            <v>902</v>
          </cell>
          <cell r="C1836" t="str">
            <v>10</v>
          </cell>
          <cell r="D1836" t="str">
            <v>06</v>
          </cell>
          <cell r="E1836" t="str">
            <v>002 00 00</v>
          </cell>
          <cell r="F1836" t="str">
            <v>500</v>
          </cell>
        </row>
        <row r="1837">
          <cell r="A1837" t="str">
            <v>Оплата труда и начисления на выплаты по оплате труда</v>
          </cell>
          <cell r="B1837" t="str">
            <v>902</v>
          </cell>
          <cell r="C1837" t="str">
            <v>10</v>
          </cell>
          <cell r="D1837" t="str">
            <v>06</v>
          </cell>
          <cell r="E1837" t="str">
            <v>002 00 00</v>
          </cell>
          <cell r="F1837" t="str">
            <v>500</v>
          </cell>
        </row>
        <row r="1838">
          <cell r="A1838" t="str">
            <v>Заработная плата</v>
          </cell>
          <cell r="B1838" t="str">
            <v>902</v>
          </cell>
          <cell r="C1838" t="str">
            <v>10</v>
          </cell>
          <cell r="D1838" t="str">
            <v>06</v>
          </cell>
          <cell r="E1838" t="str">
            <v>002 00 00</v>
          </cell>
          <cell r="F1838" t="str">
            <v>500</v>
          </cell>
        </row>
        <row r="1839">
          <cell r="A1839" t="str">
            <v>Прочие выплаты</v>
          </cell>
          <cell r="B1839" t="str">
            <v>902</v>
          </cell>
          <cell r="C1839" t="str">
            <v>10</v>
          </cell>
          <cell r="D1839" t="str">
            <v>06</v>
          </cell>
          <cell r="E1839" t="str">
            <v>002 00 00</v>
          </cell>
          <cell r="F1839" t="str">
            <v>500</v>
          </cell>
        </row>
        <row r="1840">
          <cell r="A1840" t="str">
            <v>Начисления на выплаты по оплате труда</v>
          </cell>
          <cell r="B1840" t="str">
            <v>902</v>
          </cell>
          <cell r="C1840" t="str">
            <v>10</v>
          </cell>
          <cell r="D1840" t="str">
            <v>06</v>
          </cell>
          <cell r="E1840" t="str">
            <v>002 00 00</v>
          </cell>
          <cell r="F1840" t="str">
            <v>500</v>
          </cell>
        </row>
        <row r="1841">
          <cell r="A1841" t="str">
            <v>Приобретение работ, услуг</v>
          </cell>
          <cell r="B1841" t="str">
            <v>902</v>
          </cell>
          <cell r="C1841" t="str">
            <v>10</v>
          </cell>
          <cell r="D1841" t="str">
            <v>06</v>
          </cell>
          <cell r="E1841" t="str">
            <v>002 00 00</v>
          </cell>
          <cell r="F1841" t="str">
            <v>500</v>
          </cell>
        </row>
        <row r="1842">
          <cell r="A1842" t="str">
            <v>Услуги связи</v>
          </cell>
          <cell r="B1842" t="str">
            <v>902</v>
          </cell>
          <cell r="C1842" t="str">
            <v>10</v>
          </cell>
          <cell r="D1842" t="str">
            <v>06</v>
          </cell>
          <cell r="E1842" t="str">
            <v>002 00 00</v>
          </cell>
          <cell r="F1842" t="str">
            <v>500</v>
          </cell>
        </row>
        <row r="1843">
          <cell r="A1843" t="str">
            <v>Транспортные услуги </v>
          </cell>
          <cell r="B1843" t="str">
            <v>902</v>
          </cell>
          <cell r="C1843" t="str">
            <v>10</v>
          </cell>
          <cell r="D1843" t="str">
            <v>06</v>
          </cell>
          <cell r="E1843" t="str">
            <v>002 00 00</v>
          </cell>
          <cell r="F1843" t="str">
            <v>500</v>
          </cell>
        </row>
        <row r="1844">
          <cell r="A1844" t="str">
            <v>Коммунальные услуги</v>
          </cell>
          <cell r="B1844" t="str">
            <v>902</v>
          </cell>
          <cell r="C1844" t="str">
            <v>10</v>
          </cell>
          <cell r="D1844" t="str">
            <v>06</v>
          </cell>
          <cell r="E1844" t="str">
            <v>002 04 00</v>
          </cell>
          <cell r="F1844" t="str">
            <v>500</v>
          </cell>
        </row>
        <row r="1845">
          <cell r="A1845" t="str">
            <v>Арендная плата за пользование имуществом</v>
          </cell>
          <cell r="B1845" t="str">
            <v>902</v>
          </cell>
          <cell r="C1845" t="str">
            <v>10</v>
          </cell>
          <cell r="D1845" t="str">
            <v>06</v>
          </cell>
          <cell r="E1845" t="str">
            <v>002 00 00</v>
          </cell>
          <cell r="F1845" t="str">
            <v>500</v>
          </cell>
        </row>
        <row r="1846">
          <cell r="A1846" t="str">
            <v>Работы, услуги по содержанию имущества</v>
          </cell>
          <cell r="B1846" t="str">
            <v>902</v>
          </cell>
          <cell r="C1846" t="str">
            <v>10</v>
          </cell>
          <cell r="D1846" t="str">
            <v>06</v>
          </cell>
          <cell r="E1846" t="str">
            <v>002 00 00</v>
          </cell>
          <cell r="F1846" t="str">
            <v>500</v>
          </cell>
        </row>
        <row r="1847">
          <cell r="A1847" t="str">
            <v>Прочие работы, услуги</v>
          </cell>
          <cell r="B1847" t="str">
            <v>902</v>
          </cell>
          <cell r="C1847" t="str">
            <v>10</v>
          </cell>
          <cell r="D1847" t="str">
            <v>06</v>
          </cell>
          <cell r="E1847" t="str">
            <v>002 00 00</v>
          </cell>
          <cell r="F1847" t="str">
            <v>500</v>
          </cell>
        </row>
        <row r="1848">
          <cell r="A1848" t="str">
            <v>Социальное обеспечение</v>
          </cell>
          <cell r="B1848" t="str">
            <v>902</v>
          </cell>
          <cell r="C1848" t="str">
            <v>10</v>
          </cell>
          <cell r="D1848" t="str">
            <v>06</v>
          </cell>
          <cell r="E1848" t="str">
            <v>002 00 00</v>
          </cell>
          <cell r="F1848" t="str">
            <v>500</v>
          </cell>
        </row>
        <row r="1849">
          <cell r="A1849" t="str">
            <v>Пособия по социальной помощи населению</v>
          </cell>
          <cell r="B1849" t="str">
            <v>902</v>
          </cell>
          <cell r="C1849" t="str">
            <v>10</v>
          </cell>
          <cell r="D1849" t="str">
            <v>06</v>
          </cell>
          <cell r="E1849" t="str">
            <v>002 00 00</v>
          </cell>
          <cell r="F1849" t="str">
            <v>500</v>
          </cell>
        </row>
        <row r="1850">
          <cell r="A1850" t="str">
            <v>Прочие расходы</v>
          </cell>
          <cell r="B1850" t="str">
            <v>902</v>
          </cell>
          <cell r="C1850" t="str">
            <v>10</v>
          </cell>
          <cell r="D1850" t="str">
            <v>06</v>
          </cell>
          <cell r="E1850" t="str">
            <v>002 00 00</v>
          </cell>
          <cell r="F1850" t="str">
            <v>500</v>
          </cell>
        </row>
        <row r="1851">
          <cell r="A1851" t="str">
            <v>Поступление нефинансовых активов</v>
          </cell>
          <cell r="B1851" t="str">
            <v>902</v>
          </cell>
          <cell r="C1851" t="str">
            <v>10</v>
          </cell>
          <cell r="D1851" t="str">
            <v>06</v>
          </cell>
          <cell r="E1851" t="str">
            <v>002 00 00</v>
          </cell>
          <cell r="F1851" t="str">
            <v>500</v>
          </cell>
        </row>
        <row r="1852">
          <cell r="A1852" t="str">
            <v>Увеличение стоимости основных средств</v>
          </cell>
          <cell r="B1852" t="str">
            <v>902</v>
          </cell>
          <cell r="C1852" t="str">
            <v>10</v>
          </cell>
          <cell r="D1852" t="str">
            <v>06</v>
          </cell>
          <cell r="E1852" t="str">
            <v>002 00 00</v>
          </cell>
          <cell r="F1852" t="str">
            <v>500</v>
          </cell>
        </row>
        <row r="1853">
          <cell r="A1853" t="str">
            <v>Увеличение стоимости нематериальных активов</v>
          </cell>
          <cell r="B1853" t="str">
            <v>902</v>
          </cell>
          <cell r="C1853" t="str">
            <v>10</v>
          </cell>
          <cell r="D1853" t="str">
            <v>06</v>
          </cell>
          <cell r="E1853" t="str">
            <v>002 00 00</v>
          </cell>
          <cell r="F1853" t="str">
            <v>500</v>
          </cell>
        </row>
        <row r="1854">
          <cell r="A1854" t="str">
            <v>Увеличение стоимости материальных запасов</v>
          </cell>
          <cell r="B1854" t="str">
            <v>902</v>
          </cell>
          <cell r="C1854" t="str">
            <v>10</v>
          </cell>
          <cell r="D1854" t="str">
            <v>06</v>
          </cell>
          <cell r="E1854" t="str">
            <v>002 00 00</v>
          </cell>
          <cell r="F1854" t="str">
            <v>500</v>
          </cell>
        </row>
        <row r="1855">
          <cell r="A1855" t="str">
            <v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v>
          </cell>
          <cell r="B1855" t="str">
            <v>902</v>
          </cell>
          <cell r="C1855" t="str">
            <v>10</v>
          </cell>
          <cell r="D1855" t="str">
            <v>06</v>
          </cell>
          <cell r="E1855" t="str">
            <v>002 41 00</v>
          </cell>
          <cell r="F1855" t="str">
            <v>000</v>
          </cell>
        </row>
        <row r="1856">
          <cell r="A1856" t="str">
            <v>Центральный аппарат</v>
          </cell>
          <cell r="B1856" t="str">
            <v>902</v>
          </cell>
          <cell r="C1856" t="str">
            <v>10</v>
          </cell>
          <cell r="D1856" t="str">
            <v>06</v>
          </cell>
          <cell r="E1856" t="str">
            <v>002 41 00</v>
          </cell>
          <cell r="F1856" t="str">
            <v>000</v>
          </cell>
        </row>
        <row r="1857">
          <cell r="A1857" t="str">
            <v>Выполнение функций органами местного самоуправления</v>
          </cell>
          <cell r="B1857" t="str">
            <v>902</v>
          </cell>
          <cell r="C1857" t="str">
            <v>10</v>
          </cell>
          <cell r="D1857" t="str">
            <v>06</v>
          </cell>
          <cell r="E1857" t="str">
            <v>002 41 00</v>
          </cell>
          <cell r="F1857" t="str">
            <v>500</v>
          </cell>
        </row>
        <row r="1858">
          <cell r="A1858" t="str">
            <v>Расходы</v>
          </cell>
          <cell r="B1858" t="str">
            <v>902</v>
          </cell>
          <cell r="C1858" t="str">
            <v>10</v>
          </cell>
          <cell r="D1858" t="str">
            <v>06</v>
          </cell>
          <cell r="E1858" t="str">
            <v>002 41 00</v>
          </cell>
          <cell r="F1858" t="str">
            <v>500</v>
          </cell>
        </row>
        <row r="1859">
          <cell r="A1859" t="str">
            <v>Оплата труда и начисления на выплаты по оплате труда</v>
          </cell>
          <cell r="B1859" t="str">
            <v>902</v>
          </cell>
          <cell r="C1859" t="str">
            <v>10</v>
          </cell>
          <cell r="D1859" t="str">
            <v>06</v>
          </cell>
          <cell r="E1859" t="str">
            <v>002 41 00</v>
          </cell>
          <cell r="F1859" t="str">
            <v>500</v>
          </cell>
        </row>
        <row r="1860">
          <cell r="A1860" t="str">
            <v>Заработная плата</v>
          </cell>
          <cell r="B1860" t="str">
            <v>902</v>
          </cell>
          <cell r="C1860" t="str">
            <v>10</v>
          </cell>
          <cell r="D1860" t="str">
            <v>06</v>
          </cell>
          <cell r="E1860" t="str">
            <v>002 41 00</v>
          </cell>
          <cell r="F1860" t="str">
            <v>500</v>
          </cell>
        </row>
        <row r="1861">
          <cell r="A1861" t="str">
            <v>Прочие выплаты</v>
          </cell>
          <cell r="B1861" t="str">
            <v>902</v>
          </cell>
          <cell r="C1861" t="str">
            <v>10</v>
          </cell>
          <cell r="D1861" t="str">
            <v>06</v>
          </cell>
          <cell r="E1861" t="str">
            <v>002 41 00</v>
          </cell>
          <cell r="F1861" t="str">
            <v>500</v>
          </cell>
        </row>
        <row r="1862">
          <cell r="A1862" t="str">
            <v>Начисления на выплаты по оплате труда</v>
          </cell>
          <cell r="B1862" t="str">
            <v>902</v>
          </cell>
          <cell r="C1862" t="str">
            <v>10</v>
          </cell>
          <cell r="D1862" t="str">
            <v>06</v>
          </cell>
          <cell r="E1862" t="str">
            <v>002 41 00</v>
          </cell>
          <cell r="F1862" t="str">
            <v>500</v>
          </cell>
        </row>
        <row r="1863">
          <cell r="A1863" t="str">
            <v>Приобретение работ, услуг</v>
          </cell>
          <cell r="B1863" t="str">
            <v>902</v>
          </cell>
          <cell r="C1863" t="str">
            <v>10</v>
          </cell>
          <cell r="D1863" t="str">
            <v>06</v>
          </cell>
          <cell r="E1863" t="str">
            <v>002 41 00</v>
          </cell>
          <cell r="F1863" t="str">
            <v>500</v>
          </cell>
        </row>
        <row r="1864">
          <cell r="A1864" t="str">
            <v>Услуги связи</v>
          </cell>
          <cell r="B1864" t="str">
            <v>902</v>
          </cell>
          <cell r="C1864" t="str">
            <v>10</v>
          </cell>
          <cell r="D1864" t="str">
            <v>06</v>
          </cell>
          <cell r="E1864" t="str">
            <v>002 41 00</v>
          </cell>
          <cell r="F1864" t="str">
            <v>500</v>
          </cell>
        </row>
        <row r="1865">
          <cell r="A1865" t="str">
            <v>Транспортные услуги </v>
          </cell>
          <cell r="B1865" t="str">
            <v>902</v>
          </cell>
          <cell r="C1865" t="str">
            <v>10</v>
          </cell>
          <cell r="D1865" t="str">
            <v>06</v>
          </cell>
          <cell r="E1865" t="str">
            <v>002 41 00</v>
          </cell>
          <cell r="F1865" t="str">
            <v>500</v>
          </cell>
        </row>
        <row r="1866">
          <cell r="A1866" t="str">
            <v>Коммунальные услуги</v>
          </cell>
          <cell r="B1866" t="str">
            <v>902</v>
          </cell>
          <cell r="C1866" t="str">
            <v>10</v>
          </cell>
          <cell r="D1866" t="str">
            <v>06</v>
          </cell>
          <cell r="E1866" t="str">
            <v>002 41 00</v>
          </cell>
          <cell r="F1866" t="str">
            <v>500</v>
          </cell>
        </row>
        <row r="1867">
          <cell r="A1867" t="str">
            <v>Арендная плата за пользование имуществом</v>
          </cell>
          <cell r="B1867" t="str">
            <v>902</v>
          </cell>
          <cell r="C1867" t="str">
            <v>10</v>
          </cell>
          <cell r="D1867" t="str">
            <v>06</v>
          </cell>
          <cell r="E1867" t="str">
            <v>002 41 00</v>
          </cell>
          <cell r="F1867" t="str">
            <v>500</v>
          </cell>
        </row>
        <row r="1868">
          <cell r="A1868" t="str">
            <v>Работы, услуги по содержанию имущества</v>
          </cell>
          <cell r="B1868" t="str">
            <v>902</v>
          </cell>
          <cell r="C1868" t="str">
            <v>10</v>
          </cell>
          <cell r="D1868" t="str">
            <v>06</v>
          </cell>
          <cell r="E1868" t="str">
            <v>002 41 00</v>
          </cell>
          <cell r="F1868" t="str">
            <v>500</v>
          </cell>
        </row>
        <row r="1869">
          <cell r="A1869" t="str">
            <v>Прочие работы, услуги</v>
          </cell>
          <cell r="B1869" t="str">
            <v>902</v>
          </cell>
          <cell r="C1869" t="str">
            <v>10</v>
          </cell>
          <cell r="D1869" t="str">
            <v>06</v>
          </cell>
          <cell r="E1869" t="str">
            <v>002 41 00</v>
          </cell>
          <cell r="F1869" t="str">
            <v>500</v>
          </cell>
        </row>
        <row r="1870">
          <cell r="A1870" t="str">
            <v>Социальное обеспечение</v>
          </cell>
          <cell r="B1870" t="str">
            <v>902</v>
          </cell>
          <cell r="C1870" t="str">
            <v>10</v>
          </cell>
          <cell r="D1870" t="str">
            <v>06</v>
          </cell>
          <cell r="E1870" t="str">
            <v>002 41 00</v>
          </cell>
          <cell r="F1870" t="str">
            <v>500</v>
          </cell>
        </row>
        <row r="1871">
          <cell r="A1871" t="str">
            <v>Пособия по социальной помощи населению</v>
          </cell>
          <cell r="B1871" t="str">
            <v>902</v>
          </cell>
          <cell r="C1871" t="str">
            <v>10</v>
          </cell>
          <cell r="D1871" t="str">
            <v>06</v>
          </cell>
          <cell r="E1871" t="str">
            <v>002 41 00</v>
          </cell>
          <cell r="F1871" t="str">
            <v>500</v>
          </cell>
        </row>
        <row r="1872">
          <cell r="A1872" t="str">
            <v>Прочие расходы</v>
          </cell>
          <cell r="B1872" t="str">
            <v>902</v>
          </cell>
          <cell r="C1872" t="str">
            <v>10</v>
          </cell>
          <cell r="D1872" t="str">
            <v>06</v>
          </cell>
          <cell r="E1872" t="str">
            <v>002 41 00</v>
          </cell>
          <cell r="F1872" t="str">
            <v>500</v>
          </cell>
        </row>
        <row r="1873">
          <cell r="A1873" t="str">
            <v>Поступление нефинансовых активов</v>
          </cell>
          <cell r="B1873" t="str">
            <v>902</v>
          </cell>
          <cell r="C1873" t="str">
            <v>10</v>
          </cell>
          <cell r="D1873" t="str">
            <v>06</v>
          </cell>
          <cell r="E1873" t="str">
            <v>002 41 00</v>
          </cell>
          <cell r="F1873" t="str">
            <v>500</v>
          </cell>
        </row>
        <row r="1874">
          <cell r="A1874" t="str">
            <v>Увеличение стоимости основных средств</v>
          </cell>
          <cell r="B1874" t="str">
            <v>902</v>
          </cell>
          <cell r="C1874" t="str">
            <v>10</v>
          </cell>
          <cell r="D1874" t="str">
            <v>06</v>
          </cell>
          <cell r="E1874" t="str">
            <v>002 41 00</v>
          </cell>
          <cell r="F1874" t="str">
            <v>500</v>
          </cell>
        </row>
        <row r="1875">
          <cell r="A1875" t="str">
            <v>Увеличение стоимости нематериальных активов</v>
          </cell>
          <cell r="B1875" t="str">
            <v>902</v>
          </cell>
          <cell r="C1875" t="str">
            <v>10</v>
          </cell>
          <cell r="D1875" t="str">
            <v>06</v>
          </cell>
          <cell r="E1875" t="str">
            <v>002 41 00</v>
          </cell>
          <cell r="F1875" t="str">
            <v>500</v>
          </cell>
        </row>
        <row r="1876">
          <cell r="A1876" t="str">
            <v>Увеличение стоимости материальных запасов</v>
          </cell>
          <cell r="B1876" t="str">
            <v>902</v>
          </cell>
          <cell r="C1876" t="str">
            <v>10</v>
          </cell>
          <cell r="D1876" t="str">
            <v>06</v>
          </cell>
          <cell r="E1876" t="str">
            <v>002 41 00</v>
          </cell>
          <cell r="F1876" t="str">
            <v>500</v>
          </cell>
        </row>
        <row r="1877">
          <cell r="A1877" t="str">
            <v>Целевые программы муниципальных образований </v>
          </cell>
          <cell r="C1877" t="str">
            <v>10</v>
          </cell>
          <cell r="D1877" t="str">
            <v>06</v>
          </cell>
          <cell r="E1877" t="str">
            <v>795 00 00</v>
          </cell>
          <cell r="F1877" t="str">
            <v>000</v>
          </cell>
        </row>
        <row r="1878">
          <cell r="A1878" t="str">
            <v>Выполнение функций органами местного самоуправления</v>
          </cell>
          <cell r="C1878" t="str">
            <v>10</v>
          </cell>
          <cell r="D1878" t="str">
            <v>06</v>
          </cell>
          <cell r="E1878" t="str">
            <v>795 00 00</v>
          </cell>
          <cell r="F1878" t="str">
            <v>500</v>
          </cell>
        </row>
        <row r="1879">
          <cell r="A1879" t="str">
            <v>«Комплексные меры противодействия злоупотребления наркотическими средствами и психотропными веществами» на 2011-2013 г."</v>
          </cell>
          <cell r="B1879" t="str">
            <v>903</v>
          </cell>
          <cell r="C1879" t="str">
            <v>10</v>
          </cell>
          <cell r="D1879" t="str">
            <v>06</v>
          </cell>
          <cell r="E1879" t="str">
            <v>795 02 00</v>
          </cell>
          <cell r="F1879" t="str">
            <v>500</v>
          </cell>
        </row>
        <row r="1880">
          <cell r="B1880" t="str">
            <v>904</v>
          </cell>
          <cell r="C1880" t="str">
            <v>10</v>
          </cell>
          <cell r="D1880" t="str">
            <v>06</v>
          </cell>
          <cell r="E1880" t="str">
            <v>795 02 00</v>
          </cell>
          <cell r="F1880" t="str">
            <v>500</v>
          </cell>
        </row>
        <row r="1881">
          <cell r="B1881" t="str">
            <v>905</v>
          </cell>
          <cell r="C1881" t="str">
            <v>10</v>
          </cell>
          <cell r="D1881" t="str">
            <v>06</v>
          </cell>
          <cell r="E1881" t="str">
            <v>795 02 00</v>
          </cell>
          <cell r="F1881" t="str">
            <v>500</v>
          </cell>
        </row>
        <row r="1882">
          <cell r="A1882" t="str">
            <v>Празднование 67 -й годовщины  Победы и Великой отечественной войне на 2012 г"</v>
          </cell>
          <cell r="B1882" t="str">
            <v>902</v>
          </cell>
          <cell r="C1882" t="str">
            <v>10</v>
          </cell>
          <cell r="D1882" t="str">
            <v>06</v>
          </cell>
          <cell r="E1882" t="str">
            <v>795 20 00</v>
          </cell>
          <cell r="F1882" t="str">
            <v>500</v>
          </cell>
        </row>
        <row r="1883">
          <cell r="B1883" t="str">
            <v>905</v>
          </cell>
          <cell r="C1883" t="str">
            <v>10</v>
          </cell>
          <cell r="D1883" t="str">
            <v>06</v>
          </cell>
          <cell r="E1883" t="str">
            <v>795 20 00</v>
          </cell>
          <cell r="F1883" t="str">
            <v>500</v>
          </cell>
        </row>
        <row r="1884">
          <cell r="A1884" t="str">
            <v>Профилактика безнадзорности и  несовершеннолетних в Усольском районе  на 2011 -2013гг</v>
          </cell>
          <cell r="B1884" t="str">
            <v>903</v>
          </cell>
          <cell r="C1884" t="str">
            <v>10</v>
          </cell>
          <cell r="D1884" t="str">
            <v>06</v>
          </cell>
          <cell r="E1884" t="str">
            <v>795 22 00</v>
          </cell>
          <cell r="F1884" t="str">
            <v>500</v>
          </cell>
        </row>
        <row r="1885">
          <cell r="B1885" t="str">
            <v>905</v>
          </cell>
          <cell r="C1885" t="str">
            <v>10</v>
          </cell>
          <cell r="D1885" t="str">
            <v>06</v>
          </cell>
          <cell r="E1885" t="str">
            <v>795 22 00</v>
          </cell>
          <cell r="F1885" t="str">
            <v>500</v>
          </cell>
        </row>
        <row r="1886">
          <cell r="A1886" t="str">
            <v>Обеспечение жильем молодых семей Усольского района на 2012-2019гг.</v>
          </cell>
          <cell r="B1886" t="str">
            <v>905</v>
          </cell>
          <cell r="C1886" t="str">
            <v>10</v>
          </cell>
          <cell r="D1886" t="str">
            <v>06</v>
          </cell>
          <cell r="E1886" t="str">
            <v>795 24 00</v>
          </cell>
          <cell r="F1886" t="str">
            <v>500</v>
          </cell>
        </row>
        <row r="1887">
          <cell r="A1887" t="str">
            <v>Социально - экономическая поддержка молодых специалистов работающих в учреждениях образования, здравоохранения и культыры Усольского района на 2012-2014гг </v>
          </cell>
          <cell r="B1887" t="str">
            <v>903</v>
          </cell>
          <cell r="C1887" t="str">
            <v>10</v>
          </cell>
          <cell r="D1887" t="str">
            <v>06</v>
          </cell>
          <cell r="E1887" t="str">
            <v>795 34 00</v>
          </cell>
          <cell r="F1887" t="str">
            <v>500</v>
          </cell>
        </row>
        <row r="1888">
          <cell r="B1888" t="str">
            <v>905</v>
          </cell>
          <cell r="C1888" t="str">
            <v>10</v>
          </cell>
          <cell r="D1888" t="str">
            <v>06</v>
          </cell>
          <cell r="E1888" t="str">
            <v>795 34 00</v>
          </cell>
          <cell r="F1888" t="str">
            <v>500</v>
          </cell>
        </row>
        <row r="1889">
          <cell r="A1889" t="str">
            <v>"Старшее поколение на 2011 г"</v>
          </cell>
          <cell r="B1889" t="str">
            <v>902</v>
          </cell>
          <cell r="C1889" t="str">
            <v>10</v>
          </cell>
          <cell r="D1889" t="str">
            <v>06</v>
          </cell>
          <cell r="E1889" t="str">
            <v>795 27 00</v>
          </cell>
          <cell r="F1889" t="str">
            <v>500</v>
          </cell>
        </row>
        <row r="1890">
          <cell r="A1890" t="str">
            <v>Поступление нефинансовых активов</v>
          </cell>
          <cell r="B1890" t="str">
            <v>902</v>
          </cell>
          <cell r="C1890" t="str">
            <v>10</v>
          </cell>
          <cell r="D1890" t="str">
            <v>06</v>
          </cell>
          <cell r="E1890" t="str">
            <v>795 27 00</v>
          </cell>
          <cell r="F1890" t="str">
            <v>500</v>
          </cell>
        </row>
        <row r="1891">
          <cell r="A1891" t="str">
            <v>Увеличение стоимости материальных запасов </v>
          </cell>
          <cell r="B1891" t="str">
            <v>902</v>
          </cell>
          <cell r="C1891" t="str">
            <v>10</v>
          </cell>
          <cell r="D1891" t="str">
            <v>06</v>
          </cell>
          <cell r="E1891" t="str">
            <v>795 27 00</v>
          </cell>
          <cell r="F1891" t="str">
            <v>500</v>
          </cell>
        </row>
        <row r="1892">
          <cell r="B1892" t="str">
            <v>903</v>
          </cell>
          <cell r="C1892" t="str">
            <v>10</v>
          </cell>
          <cell r="D1892" t="str">
            <v>06</v>
          </cell>
          <cell r="E1892" t="str">
            <v>795 20 00</v>
          </cell>
          <cell r="F1892" t="str">
            <v>500</v>
          </cell>
        </row>
        <row r="1893">
          <cell r="B1893" t="str">
            <v>905</v>
          </cell>
          <cell r="C1893" t="str">
            <v>10</v>
          </cell>
          <cell r="D1893" t="str">
            <v>06</v>
          </cell>
          <cell r="E1893" t="str">
            <v>795 22 00</v>
          </cell>
          <cell r="F1893" t="str">
            <v>500</v>
          </cell>
        </row>
        <row r="1894">
          <cell r="B1894" t="str">
            <v>905</v>
          </cell>
          <cell r="C1894" t="str">
            <v>10</v>
          </cell>
          <cell r="D1894" t="str">
            <v>06</v>
          </cell>
          <cell r="E1894" t="str">
            <v>795 20 00</v>
          </cell>
          <cell r="F1894" t="str">
            <v>500</v>
          </cell>
        </row>
        <row r="1895">
          <cell r="A1895" t="str">
            <v>Целевые программы муниципальных образований "Комплексные меры злаупотребления наркотиками"</v>
          </cell>
          <cell r="C1895" t="str">
            <v>10</v>
          </cell>
          <cell r="D1895" t="str">
            <v>06</v>
          </cell>
          <cell r="E1895" t="str">
            <v>795 00 00</v>
          </cell>
          <cell r="F1895" t="str">
            <v>000</v>
          </cell>
        </row>
        <row r="1896">
          <cell r="A1896" t="str">
            <v>Выполнение функций органами местного самоуправления</v>
          </cell>
          <cell r="C1896" t="str">
            <v>10</v>
          </cell>
          <cell r="D1896" t="str">
            <v>06</v>
          </cell>
          <cell r="E1896" t="str">
            <v>795 00 00</v>
          </cell>
          <cell r="F1896" t="str">
            <v>500</v>
          </cell>
        </row>
        <row r="1897">
          <cell r="A1897" t="str">
            <v>Расходы</v>
          </cell>
          <cell r="C1897" t="str">
            <v>10</v>
          </cell>
          <cell r="D1897" t="str">
            <v>06</v>
          </cell>
          <cell r="E1897" t="str">
            <v>795 02 00</v>
          </cell>
          <cell r="F1897" t="str">
            <v>500</v>
          </cell>
        </row>
        <row r="1898">
          <cell r="A1898" t="str">
            <v>Приобретение работ, услуг</v>
          </cell>
          <cell r="C1898" t="str">
            <v>10</v>
          </cell>
          <cell r="D1898" t="str">
            <v>06</v>
          </cell>
          <cell r="E1898" t="str">
            <v>795 02 00</v>
          </cell>
          <cell r="F1898" t="str">
            <v>500</v>
          </cell>
        </row>
        <row r="1899">
          <cell r="A1899" t="str">
            <v>Почие услуги</v>
          </cell>
          <cell r="B1899" t="str">
            <v>902</v>
          </cell>
          <cell r="C1899" t="str">
            <v>10</v>
          </cell>
          <cell r="D1899" t="str">
            <v>06</v>
          </cell>
          <cell r="E1899" t="str">
            <v>795 02 00</v>
          </cell>
          <cell r="F1899" t="str">
            <v>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5"/>
    </sheetNames>
    <sheetDataSet>
      <sheetData sheetId="0">
        <row r="525">
          <cell r="A525" t="str">
            <v>Субвенции  на осуществление органами местного самоуправления ОГП по обеспечению жилыми помещениями детей сирот, оставшихся без попечения родителей</v>
          </cell>
          <cell r="B525" t="str">
            <v>902</v>
          </cell>
          <cell r="C525" t="str">
            <v>05</v>
          </cell>
          <cell r="D525" t="str">
            <v>01</v>
          </cell>
          <cell r="E525" t="str">
            <v>505 36 00</v>
          </cell>
          <cell r="F525" t="str">
            <v>000</v>
          </cell>
        </row>
        <row r="526">
          <cell r="A526" t="str">
            <v>ФБ</v>
          </cell>
          <cell r="B526" t="str">
            <v>902</v>
          </cell>
          <cell r="C526" t="str">
            <v>05</v>
          </cell>
          <cell r="D526" t="str">
            <v>01</v>
          </cell>
          <cell r="E526" t="str">
            <v>505 36 00</v>
          </cell>
          <cell r="F526" t="str">
            <v>000</v>
          </cell>
        </row>
        <row r="527">
          <cell r="A527" t="str">
            <v>Поступление нефинансовых активов</v>
          </cell>
          <cell r="B527" t="str">
            <v>902</v>
          </cell>
          <cell r="C527" t="str">
            <v>05</v>
          </cell>
          <cell r="D527" t="str">
            <v>01</v>
          </cell>
          <cell r="E527" t="str">
            <v>505 36 00</v>
          </cell>
          <cell r="F527" t="str">
            <v>003</v>
          </cell>
        </row>
        <row r="528">
          <cell r="A528" t="str">
            <v>Увеличение стоимости основных средств</v>
          </cell>
          <cell r="B528" t="str">
            <v>902</v>
          </cell>
          <cell r="C528" t="str">
            <v>05</v>
          </cell>
          <cell r="D528" t="str">
            <v>01</v>
          </cell>
          <cell r="E528" t="str">
            <v>505 36 00</v>
          </cell>
          <cell r="F528" t="str">
            <v>003</v>
          </cell>
        </row>
        <row r="529">
          <cell r="A529" t="str">
            <v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ФБ</v>
          </cell>
          <cell r="B529" t="str">
            <v>902</v>
          </cell>
          <cell r="C529" t="str">
            <v>05</v>
          </cell>
          <cell r="D529" t="str">
            <v>01</v>
          </cell>
          <cell r="E529" t="str">
            <v>505 36 00</v>
          </cell>
          <cell r="F529" t="str">
            <v>000</v>
          </cell>
        </row>
        <row r="530">
          <cell r="B530" t="str">
            <v>902</v>
          </cell>
          <cell r="C530" t="str">
            <v>05</v>
          </cell>
          <cell r="D530" t="str">
            <v>01</v>
          </cell>
          <cell r="E530" t="str">
            <v>505 36 00</v>
          </cell>
          <cell r="F530" t="str">
            <v>000</v>
          </cell>
        </row>
        <row r="531">
          <cell r="B531" t="str">
            <v>902</v>
          </cell>
          <cell r="C531" t="str">
            <v>05</v>
          </cell>
          <cell r="D531" t="str">
            <v>01</v>
          </cell>
          <cell r="E531" t="str">
            <v>505 36 00</v>
          </cell>
          <cell r="F531" t="str">
            <v>003</v>
          </cell>
        </row>
        <row r="532">
          <cell r="B532" t="str">
            <v>902</v>
          </cell>
          <cell r="C532" t="str">
            <v>05</v>
          </cell>
          <cell r="D532" t="str">
            <v>01</v>
          </cell>
          <cell r="E532" t="str">
            <v>505 36 00</v>
          </cell>
          <cell r="F532" t="str">
            <v>003</v>
          </cell>
        </row>
        <row r="533">
          <cell r="B533" t="str">
            <v>902</v>
          </cell>
          <cell r="C533" t="str">
            <v>05</v>
          </cell>
          <cell r="D533" t="str">
            <v>01</v>
          </cell>
          <cell r="E533" t="str">
            <v>505 36 00</v>
          </cell>
          <cell r="F533" t="str">
            <v>003</v>
          </cell>
        </row>
        <row r="534">
          <cell r="A534" t="str">
            <v>Поступление нефинансовых активов</v>
          </cell>
          <cell r="B534" t="str">
            <v>902</v>
          </cell>
          <cell r="C534" t="str">
            <v>05</v>
          </cell>
          <cell r="D534" t="str">
            <v>01</v>
          </cell>
          <cell r="E534" t="str">
            <v>505 36 00</v>
          </cell>
          <cell r="F534" t="str">
            <v>003</v>
          </cell>
        </row>
        <row r="535">
          <cell r="A535" t="str">
            <v>Увеличение стоимости основных средств</v>
          </cell>
          <cell r="B535" t="str">
            <v>902</v>
          </cell>
          <cell r="C535" t="str">
            <v>05</v>
          </cell>
          <cell r="D535" t="str">
            <v>01</v>
          </cell>
          <cell r="E535" t="str">
            <v>505 36 00</v>
          </cell>
          <cell r="F535" t="str">
            <v>003</v>
          </cell>
        </row>
        <row r="536">
          <cell r="A536" t="str">
            <v>Целевые программы муниципальных образований </v>
          </cell>
          <cell r="B536" t="str">
            <v>902</v>
          </cell>
          <cell r="C536" t="str">
            <v>05</v>
          </cell>
          <cell r="D536" t="str">
            <v>01</v>
          </cell>
          <cell r="E536" t="str">
            <v>795 00 00</v>
          </cell>
          <cell r="F536" t="str">
            <v>000</v>
          </cell>
        </row>
        <row r="537">
          <cell r="A537" t="str">
            <v>Выполнение функций органами местного самоуправления</v>
          </cell>
          <cell r="B537" t="str">
            <v>902</v>
          </cell>
          <cell r="C537" t="str">
            <v>05</v>
          </cell>
          <cell r="D537" t="str">
            <v>01</v>
          </cell>
          <cell r="E537" t="str">
            <v>795 00 00</v>
          </cell>
          <cell r="F537" t="str">
            <v>500</v>
          </cell>
        </row>
        <row r="538">
          <cell r="A538" t="str">
            <v>Расходы</v>
          </cell>
          <cell r="B538" t="str">
            <v>902</v>
          </cell>
          <cell r="C538" t="str">
            <v>05</v>
          </cell>
          <cell r="D538" t="str">
            <v>01</v>
          </cell>
          <cell r="E538" t="str">
            <v>795 00 00</v>
          </cell>
          <cell r="F538" t="str">
            <v>500</v>
          </cell>
        </row>
        <row r="539">
          <cell r="A539" t="str">
            <v>Приобретение работ, услуг</v>
          </cell>
          <cell r="B539" t="str">
            <v>902</v>
          </cell>
          <cell r="C539" t="str">
            <v>05</v>
          </cell>
          <cell r="D539" t="str">
            <v>01</v>
          </cell>
          <cell r="E539" t="str">
            <v>795 00 00</v>
          </cell>
          <cell r="F539" t="str">
            <v>500</v>
          </cell>
        </row>
        <row r="540">
          <cell r="A540" t="str">
            <v>"Переселение  граждан из ветхого и аварийного  жилиго фонда  на 2011-2013 гг"</v>
          </cell>
          <cell r="B540" t="str">
            <v>902</v>
          </cell>
          <cell r="C540" t="str">
            <v>05</v>
          </cell>
          <cell r="D540" t="str">
            <v>01</v>
          </cell>
          <cell r="E540" t="str">
            <v>795 24 00</v>
          </cell>
          <cell r="F540" t="str">
            <v>000</v>
          </cell>
        </row>
        <row r="541">
          <cell r="A541" t="str">
            <v>Прочие расходы "Переселение граждан из ветхого и аварийного жилья"</v>
          </cell>
          <cell r="B541" t="str">
            <v>902</v>
          </cell>
          <cell r="C541" t="str">
            <v>05</v>
          </cell>
          <cell r="D541" t="str">
            <v>01</v>
          </cell>
          <cell r="E541" t="str">
            <v>795 00 00</v>
          </cell>
          <cell r="F541" t="str">
            <v>500</v>
          </cell>
        </row>
        <row r="542">
          <cell r="A542" t="str">
            <v>Поступление нефинансовых активов</v>
          </cell>
          <cell r="B542" t="str">
            <v>902</v>
          </cell>
          <cell r="C542" t="str">
            <v>05</v>
          </cell>
          <cell r="D542" t="str">
            <v>01</v>
          </cell>
          <cell r="E542" t="str">
            <v>795 00 00</v>
          </cell>
          <cell r="F542" t="str">
            <v>500</v>
          </cell>
        </row>
        <row r="543">
          <cell r="A543" t="str">
            <v>Увеличение стоимости основных средств "Переселение граждан из ветхого и авар жилья"</v>
          </cell>
          <cell r="B543" t="str">
            <v>902</v>
          </cell>
          <cell r="C543" t="str">
            <v>05</v>
          </cell>
          <cell r="D543" t="str">
            <v>01</v>
          </cell>
          <cell r="E543" t="str">
            <v>795 00 00</v>
          </cell>
          <cell r="F543" t="str">
            <v>500</v>
          </cell>
        </row>
        <row r="544">
          <cell r="A544" t="str">
            <v>Выполнение функций органами местного самоуправления</v>
          </cell>
          <cell r="B544" t="str">
            <v>902</v>
          </cell>
          <cell r="C544" t="str">
            <v>05</v>
          </cell>
          <cell r="D544" t="str">
            <v>01</v>
          </cell>
          <cell r="E544" t="str">
            <v>795 24 00</v>
          </cell>
          <cell r="F544" t="str">
            <v>500</v>
          </cell>
        </row>
        <row r="545">
          <cell r="A545" t="str">
            <v>"Проведение капитального ремонта  многоквартирных жилых  домов на территории Усольского района  на 2012-2015 гг"</v>
          </cell>
          <cell r="B545" t="str">
            <v>902</v>
          </cell>
          <cell r="C545" t="str">
            <v>05</v>
          </cell>
          <cell r="D545" t="str">
            <v>01</v>
          </cell>
          <cell r="E545" t="str">
            <v>795 36 00</v>
          </cell>
          <cell r="F545" t="str">
            <v>000</v>
          </cell>
        </row>
        <row r="546">
          <cell r="A546" t="str">
            <v>Выполнение функций органами местного самоуправления</v>
          </cell>
          <cell r="B546" t="str">
            <v>902</v>
          </cell>
          <cell r="C546" t="str">
            <v>05</v>
          </cell>
          <cell r="D546" t="str">
            <v>01</v>
          </cell>
          <cell r="E546" t="str">
            <v>795 36 00</v>
          </cell>
          <cell r="F546" t="str">
            <v>500</v>
          </cell>
        </row>
        <row r="547">
          <cell r="A547" t="str">
            <v>Коммунальное хозяйство</v>
          </cell>
          <cell r="B547" t="str">
            <v>902</v>
          </cell>
          <cell r="C547" t="str">
            <v>05</v>
          </cell>
          <cell r="D547" t="str">
            <v>02</v>
          </cell>
          <cell r="E547" t="str">
            <v>000 00 00</v>
          </cell>
          <cell r="F547" t="str">
            <v>000</v>
          </cell>
        </row>
        <row r="548">
          <cell r="A548" t="str">
            <v>Резервные фонды</v>
          </cell>
          <cell r="B548" t="str">
            <v>902</v>
          </cell>
          <cell r="C548" t="str">
            <v>05</v>
          </cell>
          <cell r="D548" t="str">
            <v>02</v>
          </cell>
          <cell r="E548" t="str">
            <v>070 00 00</v>
          </cell>
          <cell r="F548" t="str">
            <v>000</v>
          </cell>
        </row>
        <row r="549">
          <cell r="A549" t="str">
            <v>Резервные фонды исполнительных органов государственной власти субъектов Российской Федерации</v>
          </cell>
          <cell r="B549" t="str">
            <v>902</v>
          </cell>
          <cell r="C549" t="str">
            <v>05</v>
          </cell>
          <cell r="D549" t="str">
            <v>02</v>
          </cell>
          <cell r="E549" t="str">
            <v>070 04 00</v>
          </cell>
          <cell r="F549" t="str">
            <v>000</v>
          </cell>
        </row>
        <row r="550">
          <cell r="A550" t="str">
            <v>Выполнение функций органами местного самоуправления</v>
          </cell>
          <cell r="B550" t="str">
            <v>902</v>
          </cell>
          <cell r="C550" t="str">
            <v>05</v>
          </cell>
          <cell r="D550" t="str">
            <v>02</v>
          </cell>
          <cell r="E550" t="str">
            <v>070 04 00</v>
          </cell>
          <cell r="F550" t="str">
            <v>500</v>
          </cell>
        </row>
        <row r="551">
          <cell r="A551" t="str">
            <v>Расходы</v>
          </cell>
          <cell r="B551" t="str">
            <v>902</v>
          </cell>
          <cell r="C551" t="str">
            <v>05</v>
          </cell>
          <cell r="D551" t="str">
            <v>02</v>
          </cell>
          <cell r="E551" t="str">
            <v>070  04 00</v>
          </cell>
          <cell r="F551" t="str">
            <v>500</v>
          </cell>
        </row>
        <row r="552">
          <cell r="A552" t="str">
            <v>Приобретение работ, услуг</v>
          </cell>
          <cell r="B552" t="str">
            <v>902</v>
          </cell>
          <cell r="C552" t="str">
            <v>05</v>
          </cell>
          <cell r="D552" t="str">
            <v>02</v>
          </cell>
          <cell r="E552" t="str">
            <v>070  04 00</v>
          </cell>
          <cell r="F552" t="str">
            <v>500</v>
          </cell>
        </row>
        <row r="553">
          <cell r="A553" t="str">
            <v>Работы, услуги по содержанию имущества</v>
          </cell>
          <cell r="B553" t="str">
            <v>902</v>
          </cell>
          <cell r="C553" t="str">
            <v>05</v>
          </cell>
          <cell r="D553" t="str">
            <v>02</v>
          </cell>
          <cell r="E553" t="str">
            <v>070 04 00</v>
          </cell>
          <cell r="F553" t="str">
            <v>500</v>
          </cell>
        </row>
        <row r="554">
          <cell r="A554" t="str">
            <v>Поддержка коммунального хозяйства </v>
          </cell>
          <cell r="B554" t="str">
            <v>902</v>
          </cell>
          <cell r="C554" t="str">
            <v>05</v>
          </cell>
          <cell r="D554" t="str">
            <v>02</v>
          </cell>
          <cell r="E554" t="str">
            <v>351 00 00</v>
          </cell>
          <cell r="F554" t="str">
            <v>000</v>
          </cell>
        </row>
        <row r="555">
          <cell r="A555" t="str">
            <v>Компенсация выпадающих доходов организациям, предоставляющим населению услуги теплоснабжения по тарифам, не обеспечивающим возмещение издержек</v>
          </cell>
          <cell r="B555" t="str">
            <v>902</v>
          </cell>
          <cell r="C555" t="str">
            <v>05</v>
          </cell>
          <cell r="D555" t="str">
            <v>02</v>
          </cell>
          <cell r="E555" t="str">
            <v>351 02 00</v>
          </cell>
          <cell r="F555" t="str">
            <v>000</v>
          </cell>
        </row>
        <row r="556">
          <cell r="A556" t="str">
            <v>Субсидии юридическим лицам</v>
          </cell>
          <cell r="B556" t="str">
            <v>902</v>
          </cell>
          <cell r="C556" t="str">
            <v>05</v>
          </cell>
          <cell r="D556" t="str">
            <v>02</v>
          </cell>
          <cell r="E556" t="str">
            <v>351 02 00</v>
          </cell>
          <cell r="F556" t="str">
            <v>006</v>
          </cell>
        </row>
        <row r="557">
          <cell r="A557" t="str">
            <v>Расходы</v>
          </cell>
          <cell r="B557" t="str">
            <v>902</v>
          </cell>
          <cell r="C557" t="str">
            <v>05</v>
          </cell>
          <cell r="D557" t="str">
            <v>02</v>
          </cell>
          <cell r="E557" t="str">
            <v>351 02 00</v>
          </cell>
          <cell r="F557" t="str">
            <v>006</v>
          </cell>
        </row>
        <row r="558">
          <cell r="A558" t="str">
            <v>Безвозмездные и безвозвратные перечисления  организациям </v>
          </cell>
          <cell r="B558" t="str">
            <v>902</v>
          </cell>
          <cell r="C558" t="str">
            <v>05</v>
          </cell>
          <cell r="D558" t="str">
            <v>02</v>
          </cell>
          <cell r="E558" t="str">
            <v>351 02 00</v>
          </cell>
          <cell r="F558" t="str">
            <v>006</v>
          </cell>
        </row>
        <row r="559">
          <cell r="A559" t="str">
            <v>Безвозмездные и безвозвратные перечисления организациям, за исключением государственных и муниципальных организаций район</v>
          </cell>
          <cell r="B559" t="str">
            <v>902</v>
          </cell>
          <cell r="C559" t="str">
            <v>05</v>
          </cell>
          <cell r="D559" t="str">
            <v>02</v>
          </cell>
          <cell r="E559" t="str">
            <v>351 02 00</v>
          </cell>
          <cell r="F559" t="str">
            <v>006</v>
          </cell>
        </row>
        <row r="560">
          <cell r="A560" t="str">
            <v>Безвозмездные и безвозвратные перечисления организациям, за исключением государственных и муниципальных организаций переданные Доп ЭК 8.30.00.00</v>
          </cell>
          <cell r="B560" t="str">
            <v>902</v>
          </cell>
          <cell r="C560" t="str">
            <v>05</v>
          </cell>
          <cell r="D560" t="str">
            <v>02</v>
          </cell>
          <cell r="E560" t="str">
            <v>351 02 00</v>
          </cell>
          <cell r="F560" t="str">
            <v>006</v>
          </cell>
        </row>
        <row r="561">
          <cell r="A561" t="str">
            <v>Мероприятия в области коммунального хозяйства по подготовке к зиме</v>
          </cell>
          <cell r="B561" t="str">
            <v>902</v>
          </cell>
          <cell r="C561" t="str">
            <v>05</v>
          </cell>
          <cell r="D561" t="str">
            <v>02</v>
          </cell>
          <cell r="E561" t="str">
            <v>351 05 00</v>
          </cell>
          <cell r="F561" t="str">
            <v>000</v>
          </cell>
        </row>
        <row r="562">
          <cell r="A562" t="str">
            <v>Выполнение функций органами местного самоуправления</v>
          </cell>
          <cell r="B562" t="str">
            <v>902</v>
          </cell>
          <cell r="C562" t="str">
            <v>05</v>
          </cell>
          <cell r="D562" t="str">
            <v>02</v>
          </cell>
          <cell r="E562" t="str">
            <v>351 05 00</v>
          </cell>
          <cell r="F562" t="str">
            <v>500</v>
          </cell>
        </row>
        <row r="563">
          <cell r="A563" t="str">
            <v>Расходы</v>
          </cell>
          <cell r="B563" t="str">
            <v>902</v>
          </cell>
          <cell r="C563" t="str">
            <v>05</v>
          </cell>
          <cell r="D563" t="str">
            <v>02</v>
          </cell>
          <cell r="E563" t="str">
            <v>351 05 00</v>
          </cell>
          <cell r="F563" t="str">
            <v>500</v>
          </cell>
        </row>
        <row r="564">
          <cell r="A564" t="str">
            <v>Приобретение работ, услуг</v>
          </cell>
          <cell r="B564" t="str">
            <v>902</v>
          </cell>
          <cell r="C564" t="str">
            <v>05</v>
          </cell>
          <cell r="D564" t="str">
            <v>02</v>
          </cell>
          <cell r="E564" t="str">
            <v>351 05 00</v>
          </cell>
          <cell r="F564" t="str">
            <v>500</v>
          </cell>
        </row>
        <row r="565">
          <cell r="A565" t="str">
            <v>Работы, услуги по содержанию имущества</v>
          </cell>
          <cell r="B565" t="str">
            <v>902</v>
          </cell>
          <cell r="C565" t="str">
            <v>05</v>
          </cell>
          <cell r="D565" t="str">
            <v>02</v>
          </cell>
          <cell r="E565" t="str">
            <v>351 05 00</v>
          </cell>
          <cell r="F565" t="str">
            <v>500</v>
          </cell>
        </row>
        <row r="566">
          <cell r="A566" t="str">
            <v>Поступление нефинансовых активов</v>
          </cell>
          <cell r="B566" t="str">
            <v>902</v>
          </cell>
          <cell r="C566" t="str">
            <v>05</v>
          </cell>
          <cell r="D566" t="str">
            <v>02</v>
          </cell>
          <cell r="E566" t="str">
            <v>351 05 00</v>
          </cell>
          <cell r="F566" t="str">
            <v>500</v>
          </cell>
        </row>
        <row r="567">
          <cell r="A567" t="str">
            <v>Увеличение стоимости основных средств</v>
          </cell>
          <cell r="B567" t="str">
            <v>902</v>
          </cell>
          <cell r="C567" t="str">
            <v>05</v>
          </cell>
          <cell r="D567" t="str">
            <v>02</v>
          </cell>
          <cell r="E567" t="str">
            <v>351 05 00</v>
          </cell>
          <cell r="F567" t="str">
            <v>500</v>
          </cell>
        </row>
        <row r="568">
          <cell r="A568" t="str">
            <v>Софинансирование социальных программ субъектов Российской Федерации, связанных с предоставлением субсидий бюджетам субъектов Российской Федерации на социальные программы субъектов Российской Федерации, связанные с укреплением материально-технической базы </v>
          </cell>
          <cell r="B568" t="str">
            <v>902</v>
          </cell>
          <cell r="C568" t="str">
            <v>05</v>
          </cell>
          <cell r="D568" t="str">
            <v>02</v>
          </cell>
          <cell r="E568" t="str">
            <v>521 00 00</v>
          </cell>
          <cell r="F568" t="str">
            <v>000</v>
          </cell>
        </row>
        <row r="569">
          <cell r="A569" t="str">
            <v>Субсидии в целях софинансирования расходных обязательств по организации в границах муниципальных образований электро-, тепло-, водоснабжения населения</v>
          </cell>
          <cell r="B569" t="str">
            <v>902</v>
          </cell>
          <cell r="C569" t="str">
            <v>05</v>
          </cell>
          <cell r="D569" t="str">
            <v>02</v>
          </cell>
          <cell r="E569" t="str">
            <v>521 01 05</v>
          </cell>
          <cell r="F569" t="str">
            <v>000</v>
          </cell>
        </row>
        <row r="570">
          <cell r="A570" t="str">
            <v>Субсидии юридическим лицам</v>
          </cell>
          <cell r="B570" t="str">
            <v>902</v>
          </cell>
          <cell r="C570" t="str">
            <v>05</v>
          </cell>
          <cell r="D570" t="str">
            <v>02</v>
          </cell>
          <cell r="E570" t="str">
            <v>521 01 05</v>
          </cell>
          <cell r="F570" t="str">
            <v>006</v>
          </cell>
        </row>
        <row r="571">
          <cell r="A571" t="str">
            <v>Расходы</v>
          </cell>
          <cell r="B571" t="str">
            <v>902</v>
          </cell>
          <cell r="C571" t="str">
            <v>05</v>
          </cell>
          <cell r="D571" t="str">
            <v>02</v>
          </cell>
          <cell r="E571" t="str">
            <v>521 01 05</v>
          </cell>
          <cell r="F571" t="str">
            <v>006</v>
          </cell>
        </row>
        <row r="572">
          <cell r="A572" t="str">
            <v>Безвозмездные и безвозвратные перечисления  организациям </v>
          </cell>
          <cell r="B572" t="str">
            <v>902</v>
          </cell>
          <cell r="C572" t="str">
            <v>05</v>
          </cell>
          <cell r="D572" t="str">
            <v>02</v>
          </cell>
          <cell r="E572" t="str">
            <v>521 01 05</v>
          </cell>
          <cell r="F572" t="str">
            <v>006</v>
          </cell>
        </row>
        <row r="573">
          <cell r="A573" t="str">
            <v>Безвозмездные и безвозвратные перечисления организациям, за исключением государственных и муниципальных организаций</v>
          </cell>
          <cell r="B573" t="str">
            <v>902</v>
          </cell>
          <cell r="C573" t="str">
            <v>05</v>
          </cell>
          <cell r="D573" t="str">
            <v>02</v>
          </cell>
          <cell r="E573" t="str">
            <v>521 01 05</v>
          </cell>
          <cell r="F573" t="str">
            <v>006</v>
          </cell>
        </row>
        <row r="574">
          <cell r="A574" t="str">
            <v>Долгосрочные целевые программы ОБ</v>
          </cell>
          <cell r="B574" t="str">
            <v>902</v>
          </cell>
          <cell r="C574" t="str">
            <v>05</v>
          </cell>
          <cell r="D574" t="str">
            <v>02</v>
          </cell>
          <cell r="E574" t="str">
            <v>522 00 00</v>
          </cell>
          <cell r="F574" t="str">
            <v>000</v>
          </cell>
        </row>
        <row r="575">
          <cell r="A575" t="str">
            <v>Долгосрочная целевая программа «Энергосбережение и повышение энергетической эффективности на территории Иркутской области на 2011-2015 годы и на период до 2020 года»</v>
          </cell>
          <cell r="B575" t="str">
            <v>902</v>
          </cell>
          <cell r="C575" t="str">
            <v>05</v>
          </cell>
          <cell r="D575" t="str">
            <v>02</v>
          </cell>
          <cell r="E575" t="str">
            <v>522 54 00</v>
          </cell>
          <cell r="F575" t="str">
            <v>000</v>
          </cell>
        </row>
        <row r="576">
          <cell r="A576" t="str">
            <v>Фонд софинансирования</v>
          </cell>
          <cell r="B576" t="str">
            <v>902</v>
          </cell>
          <cell r="C576" t="str">
            <v>05</v>
          </cell>
          <cell r="D576" t="str">
            <v>02</v>
          </cell>
          <cell r="E576" t="str">
            <v>522 54 00</v>
          </cell>
          <cell r="F576" t="str">
            <v>010</v>
          </cell>
        </row>
        <row r="577">
          <cell r="A577" t="str">
            <v>Приобретение услуг</v>
          </cell>
          <cell r="B577" t="str">
            <v>902</v>
          </cell>
          <cell r="C577" t="str">
            <v>05</v>
          </cell>
          <cell r="D577" t="str">
            <v>02</v>
          </cell>
          <cell r="E577" t="str">
            <v>522 54 00</v>
          </cell>
          <cell r="F577" t="str">
            <v>010</v>
          </cell>
        </row>
        <row r="578">
          <cell r="A578" t="str">
            <v>Услуги по содержанию иммущества</v>
          </cell>
          <cell r="B578" t="str">
            <v>902</v>
          </cell>
          <cell r="C578" t="str">
            <v>05</v>
          </cell>
          <cell r="D578" t="str">
            <v>02</v>
          </cell>
          <cell r="E578" t="str">
            <v>522 54 00</v>
          </cell>
          <cell r="F578" t="str">
            <v>010</v>
          </cell>
        </row>
        <row r="579">
          <cell r="A579" t="str">
            <v>Услуги по содержанию имущества </v>
          </cell>
          <cell r="B579" t="str">
            <v>902</v>
          </cell>
          <cell r="C579" t="str">
            <v>05</v>
          </cell>
          <cell r="D579" t="str">
            <v>02</v>
          </cell>
          <cell r="E579" t="str">
            <v>522 54 00</v>
          </cell>
          <cell r="F579" t="str">
            <v>010</v>
          </cell>
        </row>
        <row r="580">
          <cell r="A580" t="str">
            <v>Поступление нефинансовых активов</v>
          </cell>
          <cell r="B580" t="str">
            <v>902</v>
          </cell>
          <cell r="C580" t="str">
            <v>05</v>
          </cell>
          <cell r="D580" t="str">
            <v>02</v>
          </cell>
          <cell r="E580" t="str">
            <v>522 54 00</v>
          </cell>
          <cell r="F580" t="str">
            <v>010</v>
          </cell>
        </row>
        <row r="581">
          <cell r="A581" t="str">
            <v>Увеличение стоимости основных средств</v>
          </cell>
          <cell r="B581" t="str">
            <v>902</v>
          </cell>
          <cell r="C581" t="str">
            <v>05</v>
          </cell>
          <cell r="D581" t="str">
            <v>02</v>
          </cell>
          <cell r="E581" t="str">
            <v>522 54 00</v>
          </cell>
          <cell r="F581" t="str">
            <v>010</v>
          </cell>
        </row>
        <row r="582">
          <cell r="A582" t="str">
            <v>Увеличение стоимости материальных запасов</v>
          </cell>
          <cell r="B582" t="str">
            <v>902</v>
          </cell>
          <cell r="C582" t="str">
            <v>05</v>
          </cell>
          <cell r="D582" t="str">
            <v>02</v>
          </cell>
          <cell r="E582" t="str">
            <v>522 54 00</v>
          </cell>
          <cell r="F582" t="str">
            <v>010</v>
          </cell>
        </row>
        <row r="585">
          <cell r="A585" t="str">
            <v>Целевые программы муниципальных образований </v>
          </cell>
          <cell r="B585" t="str">
            <v>902</v>
          </cell>
          <cell r="C585" t="str">
            <v>05</v>
          </cell>
          <cell r="D585" t="str">
            <v>02</v>
          </cell>
          <cell r="E585" t="str">
            <v>795 00 00</v>
          </cell>
          <cell r="F585" t="str">
            <v>000 </v>
          </cell>
        </row>
        <row r="586">
          <cell r="A586" t="str">
            <v>Выполнение функций органами местного самоуправления</v>
          </cell>
          <cell r="B586" t="str">
            <v>902</v>
          </cell>
          <cell r="C586" t="str">
            <v>05</v>
          </cell>
          <cell r="D586" t="str">
            <v>02</v>
          </cell>
          <cell r="E586" t="str">
            <v>795 00 00</v>
          </cell>
          <cell r="F586" t="str">
            <v>500</v>
          </cell>
        </row>
        <row r="587">
          <cell r="A587" t="str">
            <v>"Энергосбережение и повышение энергетической эффективности на 2010-2015 г"</v>
          </cell>
          <cell r="B587" t="str">
            <v>902</v>
          </cell>
          <cell r="C587" t="str">
            <v>05</v>
          </cell>
          <cell r="D587" t="str">
            <v>02</v>
          </cell>
          <cell r="E587" t="str">
            <v>795 25 00</v>
          </cell>
          <cell r="F587" t="str">
            <v>000</v>
          </cell>
        </row>
        <row r="588">
          <cell r="B588" t="str">
            <v>902</v>
          </cell>
          <cell r="C588" t="str">
            <v>05</v>
          </cell>
          <cell r="D588" t="str">
            <v>02</v>
          </cell>
          <cell r="E588" t="str">
            <v>795 25 00</v>
          </cell>
          <cell r="F588" t="str">
            <v>500</v>
          </cell>
        </row>
        <row r="589">
          <cell r="A589" t="str">
            <v>Услуги по содержанию имущества </v>
          </cell>
          <cell r="B589" t="str">
            <v>902</v>
          </cell>
          <cell r="C589" t="str">
            <v>05</v>
          </cell>
          <cell r="D589" t="str">
            <v>02</v>
          </cell>
          <cell r="E589" t="str">
            <v>795 25 00</v>
          </cell>
          <cell r="F589" t="str">
            <v>500</v>
          </cell>
        </row>
        <row r="590">
          <cell r="A590" t="str">
            <v>Услуги по содержанию имущества </v>
          </cell>
          <cell r="B590" t="str">
            <v>903</v>
          </cell>
          <cell r="C590" t="str">
            <v>05</v>
          </cell>
          <cell r="D590" t="str">
            <v>02</v>
          </cell>
          <cell r="E590" t="str">
            <v>795 25 00</v>
          </cell>
          <cell r="F590" t="str">
            <v>500</v>
          </cell>
        </row>
        <row r="591">
          <cell r="A591" t="str">
            <v>Услуги по содержанию имущества </v>
          </cell>
          <cell r="B591" t="str">
            <v>904</v>
          </cell>
          <cell r="C591" t="str">
            <v>05</v>
          </cell>
          <cell r="D591" t="str">
            <v>02</v>
          </cell>
          <cell r="E591" t="str">
            <v>795 25 00</v>
          </cell>
          <cell r="F591" t="str">
            <v>500</v>
          </cell>
        </row>
        <row r="592">
          <cell r="B592" t="str">
            <v>905</v>
          </cell>
          <cell r="C592" t="str">
            <v>05</v>
          </cell>
          <cell r="D592" t="str">
            <v>02</v>
          </cell>
          <cell r="E592" t="str">
            <v>795 25 00</v>
          </cell>
          <cell r="F592" t="str">
            <v>500</v>
          </cell>
        </row>
        <row r="593">
          <cell r="B593" t="str">
            <v>905</v>
          </cell>
          <cell r="C593" t="str">
            <v>05</v>
          </cell>
          <cell r="D593" t="str">
            <v>02</v>
          </cell>
          <cell r="E593" t="str">
            <v>795 25 00</v>
          </cell>
          <cell r="F593" t="str">
            <v>500</v>
          </cell>
        </row>
        <row r="594">
          <cell r="A594" t="str">
            <v>Прочие услуги</v>
          </cell>
          <cell r="B594" t="str">
            <v>902</v>
          </cell>
          <cell r="C594" t="str">
            <v>05</v>
          </cell>
          <cell r="D594" t="str">
            <v>02</v>
          </cell>
          <cell r="E594" t="str">
            <v>795 26 00</v>
          </cell>
          <cell r="F594" t="str">
            <v>500</v>
          </cell>
        </row>
        <row r="595">
          <cell r="A595" t="str">
            <v>Услуги по содержанию имущества </v>
          </cell>
          <cell r="B595" t="str">
            <v>902</v>
          </cell>
          <cell r="C595" t="str">
            <v>05</v>
          </cell>
          <cell r="D595" t="str">
            <v>02</v>
          </cell>
          <cell r="E595" t="str">
            <v>795 00 00</v>
          </cell>
          <cell r="F595" t="str">
            <v>500</v>
          </cell>
        </row>
        <row r="596">
          <cell r="A596" t="str">
            <v>Услуги по содержанию имущества </v>
          </cell>
          <cell r="B596" t="str">
            <v>902</v>
          </cell>
          <cell r="C596" t="str">
            <v>05</v>
          </cell>
          <cell r="D596" t="str">
            <v>02</v>
          </cell>
          <cell r="E596" t="str">
            <v>795 00 00</v>
          </cell>
          <cell r="F596" t="str">
            <v>500</v>
          </cell>
        </row>
        <row r="597">
          <cell r="A597" t="str">
            <v>Прочие расходы </v>
          </cell>
          <cell r="B597" t="str">
            <v>902</v>
          </cell>
          <cell r="C597" t="str">
            <v>05</v>
          </cell>
          <cell r="D597" t="str">
            <v>02</v>
          </cell>
          <cell r="E597" t="str">
            <v>795 00 00</v>
          </cell>
          <cell r="F597" t="str">
            <v>500</v>
          </cell>
        </row>
        <row r="598">
          <cell r="A598" t="str">
            <v>Прочие расходы </v>
          </cell>
          <cell r="B598" t="str">
            <v>902</v>
          </cell>
          <cell r="C598" t="str">
            <v>05</v>
          </cell>
          <cell r="D598" t="str">
            <v>02</v>
          </cell>
          <cell r="E598" t="str">
            <v>79500 00</v>
          </cell>
          <cell r="F598" t="str">
            <v>500</v>
          </cell>
        </row>
        <row r="599">
          <cell r="A599" t="str">
            <v>Поступление нефинансовых активов</v>
          </cell>
          <cell r="B599" t="str">
            <v>902</v>
          </cell>
          <cell r="C599" t="str">
            <v>05</v>
          </cell>
          <cell r="D599" t="str">
            <v>02</v>
          </cell>
          <cell r="E599" t="str">
            <v>795 00 00</v>
          </cell>
          <cell r="F599" t="str">
            <v>500</v>
          </cell>
        </row>
        <row r="600">
          <cell r="A600" t="str">
            <v>Увеличение стоимости основных средств</v>
          </cell>
          <cell r="B600" t="str">
            <v>902</v>
          </cell>
          <cell r="C600" t="str">
            <v>05</v>
          </cell>
          <cell r="D600" t="str">
            <v>02</v>
          </cell>
          <cell r="E600" t="str">
            <v>795 00 00</v>
          </cell>
          <cell r="F600" t="str">
            <v>500</v>
          </cell>
        </row>
        <row r="601">
          <cell r="A601" t="str">
            <v>Жилищно- коммунальное хозяйство </v>
          </cell>
          <cell r="C601" t="str">
            <v>05</v>
          </cell>
          <cell r="D601" t="str">
            <v>00</v>
          </cell>
          <cell r="E601" t="str">
            <v>000 00 00</v>
          </cell>
          <cell r="F601" t="str">
            <v>000</v>
          </cell>
        </row>
        <row r="602">
          <cell r="A602" t="str">
            <v>Расходы</v>
          </cell>
          <cell r="C602" t="str">
            <v>05</v>
          </cell>
          <cell r="D602" t="str">
            <v>00</v>
          </cell>
          <cell r="E602" t="str">
            <v>000 00 00</v>
          </cell>
          <cell r="F602" t="str">
            <v>000</v>
          </cell>
        </row>
        <row r="603">
          <cell r="A603" t="str">
            <v>Оплата труда и начисления на оплату труда</v>
          </cell>
          <cell r="C603" t="str">
            <v>05</v>
          </cell>
          <cell r="D603" t="str">
            <v>00</v>
          </cell>
          <cell r="E603" t="str">
            <v>000 00 00</v>
          </cell>
          <cell r="F603" t="str">
            <v>000</v>
          </cell>
        </row>
        <row r="604">
          <cell r="A604" t="str">
            <v>Заработная плата</v>
          </cell>
          <cell r="C604" t="str">
            <v>05</v>
          </cell>
          <cell r="D604" t="str">
            <v>00</v>
          </cell>
          <cell r="E604" t="str">
            <v>000 00 00</v>
          </cell>
          <cell r="F604" t="str">
            <v>000</v>
          </cell>
        </row>
        <row r="605">
          <cell r="A605" t="str">
            <v>Прочие выплаты</v>
          </cell>
          <cell r="C605" t="str">
            <v>05</v>
          </cell>
          <cell r="D605" t="str">
            <v>00</v>
          </cell>
          <cell r="E605" t="str">
            <v>000 00 00</v>
          </cell>
          <cell r="F605" t="str">
            <v>000</v>
          </cell>
        </row>
        <row r="606">
          <cell r="A606" t="str">
            <v>Начисление на оплату труда</v>
          </cell>
          <cell r="C606" t="str">
            <v>05</v>
          </cell>
          <cell r="D606" t="str">
            <v>00</v>
          </cell>
          <cell r="E606" t="str">
            <v>000 00 00</v>
          </cell>
          <cell r="F606" t="str">
            <v>000</v>
          </cell>
        </row>
        <row r="607">
          <cell r="A607" t="str">
            <v>Приобретение услуг</v>
          </cell>
          <cell r="C607" t="str">
            <v>05</v>
          </cell>
          <cell r="D607" t="str">
            <v>00</v>
          </cell>
          <cell r="E607" t="str">
            <v>000 00 00</v>
          </cell>
          <cell r="F607" t="str">
            <v>000</v>
          </cell>
        </row>
        <row r="608">
          <cell r="A608" t="str">
            <v>Услуги связи </v>
          </cell>
          <cell r="C608" t="str">
            <v>05</v>
          </cell>
          <cell r="D608" t="str">
            <v>00</v>
          </cell>
          <cell r="E608" t="str">
            <v>000 00 00</v>
          </cell>
          <cell r="F608" t="str">
            <v>000</v>
          </cell>
        </row>
        <row r="609">
          <cell r="A609" t="str">
            <v>Транспортные услуги</v>
          </cell>
          <cell r="C609" t="str">
            <v>05</v>
          </cell>
          <cell r="D609" t="str">
            <v>00</v>
          </cell>
          <cell r="E609" t="str">
            <v>000 00 00</v>
          </cell>
          <cell r="F609" t="str">
            <v>000</v>
          </cell>
        </row>
        <row r="610">
          <cell r="A610" t="str">
            <v>Коммунальные услуги</v>
          </cell>
          <cell r="C610" t="str">
            <v>05</v>
          </cell>
          <cell r="D610" t="str">
            <v>00</v>
          </cell>
          <cell r="E610" t="str">
            <v>000 00 00</v>
          </cell>
          <cell r="F610" t="str">
            <v>000</v>
          </cell>
        </row>
        <row r="611">
          <cell r="A611" t="str">
            <v>Арендная плата за пользование иммуществом </v>
          </cell>
          <cell r="C611" t="str">
            <v>05</v>
          </cell>
          <cell r="D611" t="str">
            <v>00</v>
          </cell>
          <cell r="E611" t="str">
            <v>000 00 00</v>
          </cell>
          <cell r="F611" t="str">
            <v>000</v>
          </cell>
        </row>
        <row r="612">
          <cell r="A612" t="str">
            <v>Услуги по содержанию иммущества</v>
          </cell>
          <cell r="C612" t="str">
            <v>05</v>
          </cell>
          <cell r="D612" t="str">
            <v>00</v>
          </cell>
          <cell r="E612" t="str">
            <v>000 00 00</v>
          </cell>
          <cell r="F612" t="str">
            <v>000</v>
          </cell>
        </row>
        <row r="613">
          <cell r="A613" t="str">
            <v>Прочие услуги</v>
          </cell>
          <cell r="C613" t="str">
            <v>05</v>
          </cell>
          <cell r="D613" t="str">
            <v>00</v>
          </cell>
          <cell r="E613" t="str">
            <v>000 00 00</v>
          </cell>
          <cell r="F613" t="str">
            <v>000</v>
          </cell>
        </row>
        <row r="614">
          <cell r="A614" t="str">
            <v>Безвозмездные и безвозвратные перечисления  организациям </v>
          </cell>
          <cell r="C614" t="str">
            <v>05</v>
          </cell>
          <cell r="D614" t="str">
            <v>00</v>
          </cell>
          <cell r="E614" t="str">
            <v>000 00 00</v>
          </cell>
          <cell r="F614" t="str">
            <v>000</v>
          </cell>
        </row>
        <row r="615">
          <cell r="A615" t="str">
            <v>Безвозмездные и безвозвратные перечисления организациям, за исключением государственных и муниципальных организаций</v>
          </cell>
          <cell r="C615" t="str">
            <v>05</v>
          </cell>
          <cell r="D615" t="str">
            <v>00</v>
          </cell>
          <cell r="E615" t="str">
            <v>000 00 00</v>
          </cell>
          <cell r="F615" t="str">
            <v>000</v>
          </cell>
        </row>
        <row r="616">
          <cell r="A616" t="str">
            <v>Прочие расходы</v>
          </cell>
          <cell r="C616" t="str">
            <v>05</v>
          </cell>
          <cell r="D616" t="str">
            <v>00</v>
          </cell>
          <cell r="E616" t="str">
            <v>000 00 00</v>
          </cell>
          <cell r="F616" t="str">
            <v>000</v>
          </cell>
        </row>
        <row r="617">
          <cell r="A617" t="str">
            <v>Поступление нефинансовых активов</v>
          </cell>
          <cell r="C617" t="str">
            <v>05</v>
          </cell>
          <cell r="D617" t="str">
            <v>00</v>
          </cell>
          <cell r="E617" t="str">
            <v>000 00 00</v>
          </cell>
          <cell r="F617" t="str">
            <v>000</v>
          </cell>
        </row>
        <row r="618">
          <cell r="A618" t="str">
            <v>Увеличение стоимости основных средств</v>
          </cell>
          <cell r="C618" t="str">
            <v>05</v>
          </cell>
          <cell r="D618" t="str">
            <v>00</v>
          </cell>
          <cell r="E618" t="str">
            <v>000 00 00</v>
          </cell>
          <cell r="F618" t="str">
            <v>000</v>
          </cell>
        </row>
        <row r="619">
          <cell r="A619" t="str">
            <v>Увеличение стоимости материальных запасов</v>
          </cell>
          <cell r="C619" t="str">
            <v>05</v>
          </cell>
          <cell r="D619" t="str">
            <v>00</v>
          </cell>
          <cell r="E619" t="str">
            <v>000 00 00</v>
          </cell>
          <cell r="F619" t="str">
            <v>000</v>
          </cell>
        </row>
        <row r="620">
          <cell r="A620" t="str">
            <v>ИТОГО:</v>
          </cell>
          <cell r="C620" t="str">
            <v>05</v>
          </cell>
          <cell r="D620" t="str">
            <v>00</v>
          </cell>
          <cell r="E620" t="str">
            <v>000 00 00</v>
          </cell>
          <cell r="F620" t="str">
            <v>000</v>
          </cell>
        </row>
        <row r="621">
          <cell r="A621" t="str">
            <v>Выполнение функций органами местного самоуправления</v>
          </cell>
          <cell r="B621" t="str">
            <v>902</v>
          </cell>
          <cell r="C621" t="str">
            <v>05</v>
          </cell>
          <cell r="D621" t="str">
            <v>02</v>
          </cell>
          <cell r="E621" t="str">
            <v>795 25 00</v>
          </cell>
          <cell r="F621" t="str">
            <v>500</v>
          </cell>
        </row>
        <row r="622">
          <cell r="A622" t="str">
            <v>Выполнение функций органами местного самоуправления</v>
          </cell>
          <cell r="B622" t="str">
            <v>903</v>
          </cell>
          <cell r="C622" t="str">
            <v>05</v>
          </cell>
          <cell r="D622" t="str">
            <v>02</v>
          </cell>
          <cell r="E622" t="str">
            <v>795 25 00</v>
          </cell>
          <cell r="F622" t="str">
            <v>500</v>
          </cell>
        </row>
        <row r="623">
          <cell r="A623" t="str">
            <v>"Модернизация объектов  коммунальной инфраструктуры"</v>
          </cell>
          <cell r="B623" t="str">
            <v>902</v>
          </cell>
          <cell r="C623" t="str">
            <v>05</v>
          </cell>
          <cell r="D623" t="str">
            <v>02</v>
          </cell>
          <cell r="E623" t="str">
            <v>795 26  00</v>
          </cell>
          <cell r="F623" t="str">
            <v>000</v>
          </cell>
        </row>
        <row r="624">
          <cell r="A624" t="str">
            <v>Выполнение функций органами местного самоуправления</v>
          </cell>
          <cell r="B624" t="str">
            <v>902</v>
          </cell>
          <cell r="C624" t="str">
            <v>05</v>
          </cell>
          <cell r="D624" t="str">
            <v>02</v>
          </cell>
          <cell r="E624" t="str">
            <v>795 26  00</v>
          </cell>
          <cell r="F624" t="str">
            <v>500</v>
          </cell>
        </row>
        <row r="625">
          <cell r="A625" t="str">
            <v>Долгосрочная целевая программа «Энергосбережение и повышение энергетической эффективности на территории Иркутской области на 2011-2015 годы и на период до 2020 года»</v>
          </cell>
          <cell r="B625" t="str">
            <v>902</v>
          </cell>
          <cell r="C625" t="str">
            <v>05</v>
          </cell>
          <cell r="D625" t="str">
            <v>02</v>
          </cell>
          <cell r="E625" t="str">
            <v>522 54 00</v>
          </cell>
          <cell r="F625" t="str">
            <v>000</v>
          </cell>
        </row>
        <row r="626">
          <cell r="A626" t="str">
            <v>Фонд софинансирования</v>
          </cell>
          <cell r="B626" t="str">
            <v>902</v>
          </cell>
          <cell r="C626" t="str">
            <v>05</v>
          </cell>
          <cell r="D626" t="str">
            <v>02</v>
          </cell>
          <cell r="E626" t="str">
            <v>522 54 00</v>
          </cell>
          <cell r="F626" t="str">
            <v>010</v>
          </cell>
        </row>
        <row r="627">
          <cell r="A627" t="str">
            <v>Образование</v>
          </cell>
          <cell r="C627" t="str">
            <v>07</v>
          </cell>
          <cell r="D627" t="str">
            <v>00</v>
          </cell>
          <cell r="E627" t="str">
            <v>000 00 00 </v>
          </cell>
          <cell r="F627" t="str">
            <v>000</v>
          </cell>
        </row>
        <row r="628">
          <cell r="A628" t="str">
            <v>Дошкольное образование</v>
          </cell>
          <cell r="B628" t="str">
            <v>903</v>
          </cell>
          <cell r="C628" t="str">
            <v>07</v>
          </cell>
          <cell r="D628" t="str">
            <v>01</v>
          </cell>
          <cell r="E628" t="str">
            <v>000 00 00</v>
          </cell>
          <cell r="F628" t="str">
            <v>000</v>
          </cell>
        </row>
        <row r="629">
          <cell r="A629" t="str">
            <v>Детские дошкольные учреждения</v>
          </cell>
          <cell r="B629" t="str">
            <v>903</v>
          </cell>
          <cell r="C629" t="str">
            <v>07</v>
          </cell>
          <cell r="D629" t="str">
            <v>01</v>
          </cell>
          <cell r="E629" t="str">
            <v>420 00 00</v>
          </cell>
          <cell r="F629" t="str">
            <v>000</v>
          </cell>
        </row>
        <row r="630">
          <cell r="A630" t="str">
            <v>Обеспечение деятельности подведомственных учреждений</v>
          </cell>
          <cell r="B630" t="str">
            <v>903</v>
          </cell>
          <cell r="C630" t="str">
            <v>07</v>
          </cell>
          <cell r="D630" t="str">
            <v>01</v>
          </cell>
          <cell r="E630" t="str">
            <v>420 99 00</v>
          </cell>
          <cell r="F630" t="str">
            <v>000</v>
          </cell>
        </row>
        <row r="631">
          <cell r="A631" t="str">
            <v>Выполнение функций бюджетными учреждениями</v>
          </cell>
          <cell r="B631" t="str">
            <v>903</v>
          </cell>
          <cell r="C631" t="str">
            <v>07</v>
          </cell>
          <cell r="D631" t="str">
            <v>01</v>
          </cell>
          <cell r="E631" t="str">
            <v>420 99 00</v>
          </cell>
          <cell r="F631" t="str">
            <v>001</v>
          </cell>
        </row>
        <row r="632">
          <cell r="A632" t="str">
            <v>Расходы</v>
          </cell>
          <cell r="B632" t="str">
            <v>903</v>
          </cell>
          <cell r="C632" t="str">
            <v>07</v>
          </cell>
          <cell r="D632" t="str">
            <v>01</v>
          </cell>
          <cell r="E632" t="str">
            <v>420 99 00</v>
          </cell>
          <cell r="F632" t="str">
            <v>001</v>
          </cell>
        </row>
        <row r="633">
          <cell r="A633" t="str">
            <v>Оплата труда и начисления на оплату труда</v>
          </cell>
          <cell r="B633" t="str">
            <v>903</v>
          </cell>
          <cell r="C633" t="str">
            <v>07</v>
          </cell>
          <cell r="D633" t="str">
            <v>01</v>
          </cell>
          <cell r="E633" t="str">
            <v>420 99 00</v>
          </cell>
          <cell r="F633" t="str">
            <v>001</v>
          </cell>
        </row>
        <row r="634">
          <cell r="A634" t="str">
            <v>Заработная плата</v>
          </cell>
          <cell r="B634" t="str">
            <v>903</v>
          </cell>
          <cell r="C634" t="str">
            <v>07</v>
          </cell>
          <cell r="D634" t="str">
            <v>01</v>
          </cell>
          <cell r="E634" t="str">
            <v>420 99 00</v>
          </cell>
          <cell r="F634" t="str">
            <v>001</v>
          </cell>
        </row>
        <row r="635">
          <cell r="A635" t="str">
            <v>Прочие выплаты</v>
          </cell>
          <cell r="B635" t="str">
            <v>903</v>
          </cell>
          <cell r="C635" t="str">
            <v>07</v>
          </cell>
          <cell r="D635" t="str">
            <v>01</v>
          </cell>
          <cell r="E635" t="str">
            <v>420 99 00</v>
          </cell>
          <cell r="F635" t="str">
            <v>001</v>
          </cell>
        </row>
        <row r="636">
          <cell r="A636" t="str">
            <v>льготы  пед работникам 8.01.10.00</v>
          </cell>
          <cell r="B636" t="str">
            <v>903</v>
          </cell>
          <cell r="C636" t="str">
            <v>07</v>
          </cell>
          <cell r="D636" t="str">
            <v>01</v>
          </cell>
          <cell r="E636" t="str">
            <v>420 99 00</v>
          </cell>
          <cell r="F636" t="str">
            <v>001</v>
          </cell>
        </row>
        <row r="637">
          <cell r="A637" t="str">
            <v>Начисление на оплату труда</v>
          </cell>
          <cell r="B637" t="str">
            <v>903</v>
          </cell>
          <cell r="C637" t="str">
            <v>07</v>
          </cell>
          <cell r="D637" t="str">
            <v>01</v>
          </cell>
          <cell r="E637" t="str">
            <v>420 99 00</v>
          </cell>
          <cell r="F637" t="str">
            <v>001</v>
          </cell>
        </row>
        <row r="638">
          <cell r="A638" t="str">
            <v>Приобретение услуг</v>
          </cell>
          <cell r="B638" t="str">
            <v>903</v>
          </cell>
          <cell r="C638" t="str">
            <v>07</v>
          </cell>
          <cell r="D638" t="str">
            <v>01</v>
          </cell>
          <cell r="E638" t="str">
            <v>420 99 00</v>
          </cell>
          <cell r="F638" t="str">
            <v>001</v>
          </cell>
        </row>
        <row r="639">
          <cell r="A639" t="str">
            <v>Услуги связи </v>
          </cell>
          <cell r="B639" t="str">
            <v>903</v>
          </cell>
          <cell r="C639" t="str">
            <v>07</v>
          </cell>
          <cell r="D639" t="str">
            <v>01</v>
          </cell>
          <cell r="E639" t="str">
            <v>420 99 00</v>
          </cell>
          <cell r="F639" t="str">
            <v>001</v>
          </cell>
        </row>
        <row r="640">
          <cell r="A640" t="str">
            <v>Транспортные услуги</v>
          </cell>
          <cell r="B640" t="str">
            <v>903</v>
          </cell>
          <cell r="C640" t="str">
            <v>07</v>
          </cell>
          <cell r="D640" t="str">
            <v>01</v>
          </cell>
          <cell r="E640" t="str">
            <v>420 99 00</v>
          </cell>
          <cell r="F640" t="str">
            <v>001</v>
          </cell>
        </row>
        <row r="641">
          <cell r="A641" t="str">
            <v>Коммунальные услуги</v>
          </cell>
          <cell r="B641" t="str">
            <v>903</v>
          </cell>
          <cell r="C641" t="str">
            <v>07</v>
          </cell>
          <cell r="D641" t="str">
            <v>01</v>
          </cell>
          <cell r="E641" t="str">
            <v>420 99 00</v>
          </cell>
          <cell r="F641" t="str">
            <v>001</v>
          </cell>
        </row>
        <row r="642">
          <cell r="A642" t="str">
            <v>Арендная плата за пользование иммуществом </v>
          </cell>
          <cell r="B642" t="str">
            <v>903</v>
          </cell>
          <cell r="C642" t="str">
            <v>07</v>
          </cell>
          <cell r="D642" t="str">
            <v>01</v>
          </cell>
          <cell r="E642" t="str">
            <v>420 99 00</v>
          </cell>
          <cell r="F642" t="str">
            <v>001</v>
          </cell>
        </row>
        <row r="643">
          <cell r="A643" t="str">
            <v>Услуги по содержанию иммущества</v>
          </cell>
          <cell r="B643" t="str">
            <v>903</v>
          </cell>
          <cell r="C643" t="str">
            <v>07</v>
          </cell>
          <cell r="D643" t="str">
            <v>01</v>
          </cell>
          <cell r="E643" t="str">
            <v>420 99 00</v>
          </cell>
          <cell r="F643" t="str">
            <v>001</v>
          </cell>
        </row>
        <row r="644">
          <cell r="A644" t="str">
            <v>Услуги по содержанию иммущества 8.40.00</v>
          </cell>
          <cell r="B644" t="str">
            <v>903</v>
          </cell>
          <cell r="C644" t="str">
            <v>07</v>
          </cell>
          <cell r="D644" t="str">
            <v>01</v>
          </cell>
          <cell r="E644" t="str">
            <v>420 99 00</v>
          </cell>
          <cell r="F644" t="str">
            <v>001</v>
          </cell>
        </row>
        <row r="645">
          <cell r="A645" t="str">
            <v>Услуги по содержанию иммущества 8.40.01</v>
          </cell>
          <cell r="B645" t="str">
            <v>903</v>
          </cell>
          <cell r="C645" t="str">
            <v>07</v>
          </cell>
          <cell r="D645" t="str">
            <v>01</v>
          </cell>
          <cell r="E645" t="str">
            <v>420 99 00</v>
          </cell>
          <cell r="F645" t="str">
            <v>001</v>
          </cell>
        </row>
        <row r="646">
          <cell r="A646" t="str">
            <v>8,40,02</v>
          </cell>
          <cell r="B646" t="str">
            <v>903</v>
          </cell>
          <cell r="C646" t="str">
            <v>07</v>
          </cell>
          <cell r="D646" t="str">
            <v>01</v>
          </cell>
          <cell r="E646" t="str">
            <v>420 99 00</v>
          </cell>
          <cell r="F646" t="str">
            <v>001</v>
          </cell>
        </row>
        <row r="647">
          <cell r="A647" t="str">
            <v>Услуги по содержанию иммущества   8.40.01 Кап ремонты</v>
          </cell>
          <cell r="B647" t="str">
            <v>903</v>
          </cell>
          <cell r="C647" t="str">
            <v>07</v>
          </cell>
          <cell r="D647" t="str">
            <v>01</v>
          </cell>
          <cell r="E647" t="str">
            <v>420 99 00</v>
          </cell>
          <cell r="F647" t="str">
            <v>001</v>
          </cell>
        </row>
        <row r="648">
          <cell r="A648" t="str">
            <v>Услуги по содержанию иммущества   8.40.02 Кап ремонты</v>
          </cell>
          <cell r="B648" t="str">
            <v>903</v>
          </cell>
          <cell r="C648" t="str">
            <v>07</v>
          </cell>
          <cell r="D648" t="str">
            <v>01</v>
          </cell>
          <cell r="E648" t="str">
            <v>420 99 00</v>
          </cell>
          <cell r="F648" t="str">
            <v>001</v>
          </cell>
        </row>
        <row r="649">
          <cell r="A649" t="str">
            <v>Прочие услуги</v>
          </cell>
          <cell r="B649" t="str">
            <v>903</v>
          </cell>
          <cell r="C649" t="str">
            <v>07</v>
          </cell>
          <cell r="D649" t="str">
            <v>01</v>
          </cell>
          <cell r="E649" t="str">
            <v>420 99 00</v>
          </cell>
          <cell r="F649" t="str">
            <v>001</v>
          </cell>
        </row>
        <row r="650">
          <cell r="A650" t="str">
            <v>Социальное обеспечение</v>
          </cell>
          <cell r="B650" t="str">
            <v>903</v>
          </cell>
          <cell r="C650" t="str">
            <v>07</v>
          </cell>
          <cell r="D650" t="str">
            <v>01</v>
          </cell>
          <cell r="E650" t="str">
            <v>420 99 00</v>
          </cell>
          <cell r="F650" t="str">
            <v>001</v>
          </cell>
        </row>
        <row r="651">
          <cell r="A651" t="str">
            <v>Пособия по социальной помощи населению</v>
          </cell>
          <cell r="B651" t="str">
            <v>903</v>
          </cell>
          <cell r="C651" t="str">
            <v>07</v>
          </cell>
          <cell r="D651" t="str">
            <v>01</v>
          </cell>
          <cell r="E651" t="str">
            <v>420 99 00</v>
          </cell>
          <cell r="F651" t="str">
            <v>001</v>
          </cell>
        </row>
        <row r="652">
          <cell r="A652" t="str">
            <v>Прочие расходы </v>
          </cell>
          <cell r="B652" t="str">
            <v>903</v>
          </cell>
          <cell r="C652" t="str">
            <v>07</v>
          </cell>
          <cell r="D652" t="str">
            <v>01</v>
          </cell>
          <cell r="E652" t="str">
            <v>420 99 00</v>
          </cell>
          <cell r="F652" t="str">
            <v>001</v>
          </cell>
        </row>
        <row r="653">
          <cell r="A653" t="str">
            <v>Поступление нефинансовых активов</v>
          </cell>
          <cell r="B653" t="str">
            <v>903</v>
          </cell>
          <cell r="C653" t="str">
            <v>07</v>
          </cell>
          <cell r="D653" t="str">
            <v>01</v>
          </cell>
          <cell r="E653" t="str">
            <v>420 99 00</v>
          </cell>
          <cell r="F653" t="str">
            <v>001</v>
          </cell>
        </row>
        <row r="654">
          <cell r="A654" t="str">
            <v>Увеличение стоимости основных средств</v>
          </cell>
          <cell r="B654" t="str">
            <v>903</v>
          </cell>
          <cell r="C654" t="str">
            <v>07</v>
          </cell>
          <cell r="D654" t="str">
            <v>01</v>
          </cell>
          <cell r="E654" t="str">
            <v>420 99 00</v>
          </cell>
          <cell r="F654" t="str">
            <v>001</v>
          </cell>
        </row>
        <row r="655">
          <cell r="A655" t="str">
            <v>8,40,02</v>
          </cell>
          <cell r="B655" t="str">
            <v>903</v>
          </cell>
          <cell r="C655" t="str">
            <v>07</v>
          </cell>
          <cell r="D655" t="str">
            <v>01</v>
          </cell>
          <cell r="E655" t="str">
            <v>420 99 00</v>
          </cell>
          <cell r="F655" t="str">
            <v>001</v>
          </cell>
        </row>
        <row r="656">
          <cell r="A656" t="str">
            <v>Увеличение стоимости материальных запасов</v>
          </cell>
          <cell r="B656" t="str">
            <v>903</v>
          </cell>
          <cell r="C656" t="str">
            <v>07</v>
          </cell>
          <cell r="D656" t="str">
            <v>01</v>
          </cell>
          <cell r="E656" t="str">
            <v>420 99 00</v>
          </cell>
          <cell r="F656" t="str">
            <v>001</v>
          </cell>
        </row>
        <row r="657">
          <cell r="A657" t="str">
            <v>8,40,02</v>
          </cell>
          <cell r="B657" t="str">
            <v>903</v>
          </cell>
          <cell r="C657" t="str">
            <v>07</v>
          </cell>
          <cell r="D657" t="str">
            <v>01</v>
          </cell>
          <cell r="E657" t="str">
            <v>420 99 00</v>
          </cell>
          <cell r="F657" t="str">
            <v>001</v>
          </cell>
        </row>
        <row r="658">
          <cell r="A658" t="str">
            <v>Субсидии некоммерческим организациям</v>
          </cell>
          <cell r="B658" t="str">
            <v>903</v>
          </cell>
          <cell r="C658" t="str">
            <v>07</v>
          </cell>
          <cell r="D658" t="str">
            <v>01</v>
          </cell>
          <cell r="E658" t="str">
            <v>420 99 00</v>
          </cell>
          <cell r="F658" t="str">
            <v>019</v>
          </cell>
        </row>
        <row r="659">
          <cell r="A659" t="str">
            <v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</v>
          </cell>
          <cell r="B659" t="str">
            <v>903</v>
          </cell>
          <cell r="C659" t="str">
            <v>07</v>
          </cell>
          <cell r="D659" t="str">
            <v>01</v>
          </cell>
          <cell r="E659" t="str">
            <v>589 00 00</v>
          </cell>
          <cell r="F659" t="str">
            <v>000</v>
          </cell>
        </row>
        <row r="660">
          <cell r="A660" t="str">
            <v>Выполнение функций бюджетными учреждениями</v>
          </cell>
          <cell r="B660" t="str">
            <v>903</v>
          </cell>
          <cell r="C660" t="str">
            <v>07</v>
          </cell>
          <cell r="D660" t="str">
            <v>01</v>
          </cell>
          <cell r="E660" t="str">
            <v>589 00 00</v>
          </cell>
          <cell r="F660" t="str">
            <v>001</v>
          </cell>
        </row>
        <row r="661">
          <cell r="A661" t="str">
            <v>Субсидии некоммерческим организациям</v>
          </cell>
          <cell r="B661" t="str">
            <v>903</v>
          </cell>
          <cell r="C661" t="str">
            <v>07</v>
          </cell>
          <cell r="D661" t="str">
            <v>01</v>
          </cell>
          <cell r="E661" t="str">
            <v>589 00 00</v>
          </cell>
          <cell r="F661" t="str">
            <v>019</v>
          </cell>
        </row>
        <row r="662">
          <cell r="B662" t="str">
            <v>903</v>
          </cell>
          <cell r="C662" t="str">
            <v>07</v>
          </cell>
          <cell r="D662" t="str">
            <v>01</v>
          </cell>
          <cell r="E662" t="str">
            <v>589 00 00</v>
          </cell>
        </row>
        <row r="663">
          <cell r="B663" t="str">
            <v>903</v>
          </cell>
          <cell r="C663" t="str">
            <v>07</v>
          </cell>
          <cell r="D663" t="str">
            <v>01</v>
          </cell>
          <cell r="E663" t="str">
            <v>589 00 00</v>
          </cell>
        </row>
        <row r="664">
          <cell r="A664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664" t="str">
            <v>903</v>
          </cell>
          <cell r="C664" t="str">
            <v>07</v>
          </cell>
          <cell r="D664" t="str">
            <v>01</v>
          </cell>
          <cell r="E664" t="str">
            <v>590 00 00</v>
          </cell>
          <cell r="F664" t="str">
            <v>000</v>
          </cell>
        </row>
        <row r="665">
          <cell r="A665" t="str">
            <v>Выполнение функций бюджетными учреждениями</v>
          </cell>
          <cell r="B665" t="str">
            <v>903</v>
          </cell>
          <cell r="C665" t="str">
            <v>07</v>
          </cell>
          <cell r="D665" t="str">
            <v>01</v>
          </cell>
          <cell r="E665" t="str">
            <v>590 00 00</v>
          </cell>
          <cell r="F665" t="str">
            <v>001</v>
          </cell>
        </row>
        <row r="666">
          <cell r="A666" t="str">
            <v>Субсидии некоммерческим организациям</v>
          </cell>
          <cell r="B666" t="str">
            <v>903</v>
          </cell>
          <cell r="C666" t="str">
            <v>07</v>
          </cell>
          <cell r="D666" t="str">
            <v>01</v>
          </cell>
          <cell r="E666" t="str">
            <v>590 00 00</v>
          </cell>
          <cell r="F666" t="str">
            <v>019</v>
          </cell>
        </row>
        <row r="667">
          <cell r="A667" t="str">
            <v>Погашение просроченной кредиторской задолженности по состоянию на 1 апреля 2012 года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</v>
          </cell>
          <cell r="B667" t="str">
            <v>903</v>
          </cell>
          <cell r="C667" t="str">
            <v>07</v>
          </cell>
          <cell r="D667" t="str">
            <v>01</v>
          </cell>
          <cell r="E667" t="str">
            <v>594 00 00</v>
          </cell>
          <cell r="F667" t="str">
            <v>000</v>
          </cell>
        </row>
        <row r="668">
          <cell r="A668" t="str">
            <v>Субсидии некоммерческим организациям</v>
          </cell>
          <cell r="B668" t="str">
            <v>903</v>
          </cell>
          <cell r="C668" t="str">
            <v>07</v>
          </cell>
          <cell r="D668" t="str">
            <v>01</v>
          </cell>
          <cell r="E668" t="str">
            <v>594 00 00</v>
          </cell>
          <cell r="F668" t="str">
            <v>019</v>
          </cell>
        </row>
        <row r="669">
          <cell r="A669" t="str">
            <v>Общее образование</v>
          </cell>
          <cell r="C669" t="str">
            <v>07</v>
          </cell>
          <cell r="D669" t="str">
            <v>02</v>
          </cell>
          <cell r="E669" t="str">
            <v>000 00 00</v>
          </cell>
          <cell r="F669" t="str">
            <v>000</v>
          </cell>
        </row>
        <row r="670">
          <cell r="A670" t="str">
            <v>Школы-детские сады, школы начальные, неполные средние и средние</v>
          </cell>
          <cell r="B670" t="str">
            <v>903</v>
          </cell>
          <cell r="C670" t="str">
            <v>07</v>
          </cell>
          <cell r="D670" t="str">
            <v>02</v>
          </cell>
          <cell r="E670" t="str">
            <v>421 00 00</v>
          </cell>
          <cell r="F670" t="str">
            <v>000</v>
          </cell>
        </row>
        <row r="671">
          <cell r="A671" t="str">
            <v>Обеспечение деятельности подведомственных учреждений</v>
          </cell>
          <cell r="B671" t="str">
            <v>903</v>
          </cell>
          <cell r="C671" t="str">
            <v>07</v>
          </cell>
          <cell r="D671" t="str">
            <v>02</v>
          </cell>
          <cell r="E671" t="str">
            <v>421 99 00</v>
          </cell>
          <cell r="F671" t="str">
            <v>000</v>
          </cell>
        </row>
        <row r="672">
          <cell r="A672" t="str">
            <v>Выполнение функций бюджетными учреждениями</v>
          </cell>
          <cell r="B672" t="str">
            <v>903</v>
          </cell>
          <cell r="C672" t="str">
            <v>07</v>
          </cell>
          <cell r="D672" t="str">
            <v>02</v>
          </cell>
          <cell r="E672" t="str">
            <v>421 99 00</v>
          </cell>
          <cell r="F672" t="str">
            <v>001</v>
          </cell>
        </row>
        <row r="673">
          <cell r="A673" t="str">
            <v>Расходы</v>
          </cell>
          <cell r="B673" t="str">
            <v>903</v>
          </cell>
          <cell r="C673" t="str">
            <v>07</v>
          </cell>
          <cell r="D673" t="str">
            <v>02</v>
          </cell>
          <cell r="E673" t="str">
            <v>421 99 00</v>
          </cell>
          <cell r="F673" t="str">
            <v>001</v>
          </cell>
        </row>
        <row r="674">
          <cell r="A674" t="str">
            <v>Оплата труда и начисления на оплату труда</v>
          </cell>
          <cell r="B674" t="str">
            <v>903</v>
          </cell>
          <cell r="C674" t="str">
            <v>07</v>
          </cell>
          <cell r="D674" t="str">
            <v>02</v>
          </cell>
          <cell r="E674" t="str">
            <v>421 99 00</v>
          </cell>
          <cell r="F674" t="str">
            <v>001</v>
          </cell>
        </row>
        <row r="675">
          <cell r="A675" t="str">
            <v>Заработная плата</v>
          </cell>
          <cell r="B675" t="str">
            <v>903</v>
          </cell>
          <cell r="C675" t="str">
            <v>07</v>
          </cell>
          <cell r="D675" t="str">
            <v>02</v>
          </cell>
          <cell r="E675" t="str">
            <v>421 99 00</v>
          </cell>
          <cell r="F675" t="str">
            <v>001</v>
          </cell>
        </row>
        <row r="676">
          <cell r="A676" t="str">
            <v>Заработная плата 8.08.00</v>
          </cell>
          <cell r="B676" t="str">
            <v>903</v>
          </cell>
          <cell r="C676" t="str">
            <v>07</v>
          </cell>
          <cell r="D676" t="str">
            <v>02</v>
          </cell>
          <cell r="E676" t="str">
            <v>421 99 00</v>
          </cell>
          <cell r="F676" t="str">
            <v>001</v>
          </cell>
        </row>
        <row r="677">
          <cell r="A677" t="str">
            <v>Прочие выплаты</v>
          </cell>
          <cell r="B677" t="str">
            <v>903</v>
          </cell>
          <cell r="C677" t="str">
            <v>07</v>
          </cell>
          <cell r="D677" t="str">
            <v>02</v>
          </cell>
          <cell r="E677" t="str">
            <v>421 99 00</v>
          </cell>
          <cell r="F677" t="str">
            <v>001</v>
          </cell>
        </row>
        <row r="678">
          <cell r="A678" t="str">
            <v>льготы  пед. работникам 8.01.10.00</v>
          </cell>
          <cell r="B678" t="str">
            <v>903</v>
          </cell>
          <cell r="C678" t="str">
            <v>07</v>
          </cell>
          <cell r="D678" t="str">
            <v>02</v>
          </cell>
          <cell r="E678" t="str">
            <v>421 99 00</v>
          </cell>
          <cell r="F678" t="str">
            <v>001</v>
          </cell>
        </row>
        <row r="679">
          <cell r="A679" t="str">
            <v>Начисление на оплату труда</v>
          </cell>
          <cell r="B679" t="str">
            <v>903</v>
          </cell>
          <cell r="C679" t="str">
            <v>07</v>
          </cell>
          <cell r="D679" t="str">
            <v>02</v>
          </cell>
          <cell r="E679" t="str">
            <v>421 99 00</v>
          </cell>
          <cell r="F679" t="str">
            <v>001</v>
          </cell>
        </row>
        <row r="680">
          <cell r="A680" t="str">
            <v>Начисление на оплату труда 8.08.00.00</v>
          </cell>
          <cell r="B680" t="str">
            <v>903</v>
          </cell>
          <cell r="C680" t="str">
            <v>07</v>
          </cell>
          <cell r="D680" t="str">
            <v>02</v>
          </cell>
          <cell r="E680" t="str">
            <v>421 99 00</v>
          </cell>
          <cell r="F680" t="str">
            <v>001</v>
          </cell>
        </row>
        <row r="681">
          <cell r="A681" t="str">
            <v>Приобретение услуг</v>
          </cell>
          <cell r="B681" t="str">
            <v>903</v>
          </cell>
          <cell r="C681" t="str">
            <v>07</v>
          </cell>
          <cell r="D681" t="str">
            <v>02</v>
          </cell>
          <cell r="E681" t="str">
            <v>421 99 00</v>
          </cell>
          <cell r="F681" t="str">
            <v>001</v>
          </cell>
        </row>
        <row r="682">
          <cell r="A682" t="str">
            <v>Услуги связи </v>
          </cell>
          <cell r="B682" t="str">
            <v>903</v>
          </cell>
          <cell r="C682" t="str">
            <v>07</v>
          </cell>
          <cell r="D682" t="str">
            <v>02</v>
          </cell>
          <cell r="E682" t="str">
            <v>421 99 00</v>
          </cell>
          <cell r="F682" t="str">
            <v>001</v>
          </cell>
        </row>
        <row r="683">
          <cell r="A683" t="str">
            <v>Услуги связи  8.05.00.00</v>
          </cell>
          <cell r="B683" t="str">
            <v>903</v>
          </cell>
          <cell r="C683" t="str">
            <v>07</v>
          </cell>
          <cell r="D683" t="str">
            <v>02</v>
          </cell>
          <cell r="E683" t="str">
            <v>421 99 00</v>
          </cell>
          <cell r="F683" t="str">
            <v>001</v>
          </cell>
        </row>
        <row r="684">
          <cell r="A684" t="str">
            <v>Транспортные услуги</v>
          </cell>
          <cell r="B684" t="str">
            <v>903</v>
          </cell>
          <cell r="C684" t="str">
            <v>07</v>
          </cell>
          <cell r="D684" t="str">
            <v>02</v>
          </cell>
          <cell r="E684" t="str">
            <v>421 99 00</v>
          </cell>
          <cell r="F684" t="str">
            <v>001</v>
          </cell>
        </row>
        <row r="685">
          <cell r="A685" t="str">
            <v>Коммунальные услуги</v>
          </cell>
          <cell r="B685" t="str">
            <v>903</v>
          </cell>
          <cell r="C685" t="str">
            <v>07</v>
          </cell>
          <cell r="D685" t="str">
            <v>02</v>
          </cell>
          <cell r="E685" t="str">
            <v>421 99 00</v>
          </cell>
          <cell r="F685" t="str">
            <v>001</v>
          </cell>
        </row>
        <row r="686">
          <cell r="A686" t="str">
            <v>Арендная плата за пользование иммуществом </v>
          </cell>
          <cell r="B686" t="str">
            <v>903</v>
          </cell>
          <cell r="C686" t="str">
            <v>07</v>
          </cell>
          <cell r="D686" t="str">
            <v>02</v>
          </cell>
          <cell r="E686" t="str">
            <v>421 99 00</v>
          </cell>
          <cell r="F686" t="str">
            <v>001</v>
          </cell>
        </row>
        <row r="687">
          <cell r="A687" t="str">
            <v>Услуги по содержанию иммущества</v>
          </cell>
          <cell r="B687" t="str">
            <v>903</v>
          </cell>
          <cell r="C687" t="str">
            <v>07</v>
          </cell>
          <cell r="D687" t="str">
            <v>02</v>
          </cell>
          <cell r="E687" t="str">
            <v>421 99 00</v>
          </cell>
          <cell r="F687" t="str">
            <v>001</v>
          </cell>
        </row>
        <row r="688">
          <cell r="A688" t="str">
            <v>Услуги по содержанию иммущества 8.40.00</v>
          </cell>
          <cell r="B688" t="str">
            <v>903</v>
          </cell>
          <cell r="C688" t="str">
            <v>07</v>
          </cell>
          <cell r="D688" t="str">
            <v>02</v>
          </cell>
          <cell r="E688" t="str">
            <v>421 99 00</v>
          </cell>
          <cell r="F688" t="str">
            <v>001</v>
          </cell>
        </row>
        <row r="689">
          <cell r="A689" t="str">
            <v>Услуги по содержанию иммущества 8.40.01</v>
          </cell>
          <cell r="B689" t="str">
            <v>903</v>
          </cell>
          <cell r="C689" t="str">
            <v>07</v>
          </cell>
          <cell r="D689" t="str">
            <v>02</v>
          </cell>
          <cell r="E689" t="str">
            <v>421 99 00</v>
          </cell>
          <cell r="F689" t="str">
            <v>001</v>
          </cell>
        </row>
        <row r="690">
          <cell r="A690" t="str">
            <v>Услуги по содержанию иммущества 8.40.02</v>
          </cell>
          <cell r="B690" t="str">
            <v>903</v>
          </cell>
          <cell r="C690" t="str">
            <v>07</v>
          </cell>
          <cell r="D690" t="str">
            <v>02</v>
          </cell>
          <cell r="E690" t="str">
            <v>421 99 00</v>
          </cell>
          <cell r="F690" t="str">
            <v>001</v>
          </cell>
        </row>
        <row r="691">
          <cell r="A691" t="str">
            <v>Услуги по содержанию иммущества 8,40,01 Кап ремонты</v>
          </cell>
          <cell r="B691" t="str">
            <v>903</v>
          </cell>
          <cell r="C691" t="str">
            <v>07</v>
          </cell>
          <cell r="D691" t="str">
            <v>02</v>
          </cell>
          <cell r="E691" t="str">
            <v>421 99 00</v>
          </cell>
          <cell r="F691" t="str">
            <v>001</v>
          </cell>
        </row>
        <row r="692">
          <cell r="A692" t="str">
            <v>Услуги по содержанию иммущества 8,40,02 Кап ремонты</v>
          </cell>
          <cell r="B692" t="str">
            <v>903</v>
          </cell>
          <cell r="C692" t="str">
            <v>07</v>
          </cell>
          <cell r="D692" t="str">
            <v>02</v>
          </cell>
          <cell r="E692" t="str">
            <v>421 99 00</v>
          </cell>
          <cell r="F692" t="str">
            <v>001</v>
          </cell>
        </row>
        <row r="693">
          <cell r="A693" t="str">
            <v>Прочие услуги</v>
          </cell>
          <cell r="B693" t="str">
            <v>903</v>
          </cell>
          <cell r="C693" t="str">
            <v>07</v>
          </cell>
          <cell r="D693" t="str">
            <v>02</v>
          </cell>
          <cell r="E693" t="str">
            <v>421 99 00</v>
          </cell>
          <cell r="F693" t="str">
            <v>001</v>
          </cell>
        </row>
        <row r="694">
          <cell r="A694" t="str">
            <v>Прочие услуги 8.05.00</v>
          </cell>
          <cell r="B694" t="str">
            <v>903</v>
          </cell>
          <cell r="C694" t="str">
            <v>07</v>
          </cell>
          <cell r="D694" t="str">
            <v>02</v>
          </cell>
          <cell r="E694" t="str">
            <v>421 99 00</v>
          </cell>
          <cell r="F694" t="str">
            <v>001</v>
          </cell>
        </row>
        <row r="695">
          <cell r="A695" t="str">
            <v>Прочие услуги 8.40.00</v>
          </cell>
          <cell r="B695" t="str">
            <v>903</v>
          </cell>
          <cell r="C695" t="str">
            <v>07</v>
          </cell>
          <cell r="D695" t="str">
            <v>02</v>
          </cell>
          <cell r="E695" t="str">
            <v>421 99 00</v>
          </cell>
          <cell r="F695" t="str">
            <v>001</v>
          </cell>
        </row>
        <row r="696">
          <cell r="A696" t="str">
            <v>Прочие услуги 8.40.02</v>
          </cell>
          <cell r="B696" t="str">
            <v>903</v>
          </cell>
          <cell r="C696" t="str">
            <v>07</v>
          </cell>
          <cell r="D696" t="str">
            <v>02</v>
          </cell>
          <cell r="E696" t="str">
            <v>422 99 00</v>
          </cell>
          <cell r="F696" t="str">
            <v>001</v>
          </cell>
        </row>
        <row r="697">
          <cell r="A697" t="str">
            <v>Социальное обеспечение</v>
          </cell>
          <cell r="B697" t="str">
            <v>903</v>
          </cell>
          <cell r="C697" t="str">
            <v>07</v>
          </cell>
          <cell r="D697" t="str">
            <v>02</v>
          </cell>
          <cell r="E697" t="str">
            <v>421 99 00</v>
          </cell>
          <cell r="F697" t="str">
            <v>001</v>
          </cell>
        </row>
        <row r="698">
          <cell r="A698" t="str">
            <v>Пособия по социальной помощи населению</v>
          </cell>
          <cell r="B698" t="str">
            <v>903</v>
          </cell>
          <cell r="C698" t="str">
            <v>07</v>
          </cell>
          <cell r="D698" t="str">
            <v>02</v>
          </cell>
          <cell r="E698" t="str">
            <v>421 99 00</v>
          </cell>
          <cell r="F698" t="str">
            <v>001</v>
          </cell>
        </row>
        <row r="699">
          <cell r="A699" t="str">
            <v>Прочие расходы </v>
          </cell>
          <cell r="B699" t="str">
            <v>903</v>
          </cell>
          <cell r="C699" t="str">
            <v>07</v>
          </cell>
          <cell r="D699" t="str">
            <v>02</v>
          </cell>
          <cell r="E699" t="str">
            <v>421 99 00</v>
          </cell>
          <cell r="F699" t="str">
            <v>001</v>
          </cell>
        </row>
        <row r="700">
          <cell r="A700" t="str">
            <v>Поступление нефинансовых активов</v>
          </cell>
          <cell r="B700" t="str">
            <v>903</v>
          </cell>
          <cell r="C700" t="str">
            <v>07</v>
          </cell>
          <cell r="D700" t="str">
            <v>02</v>
          </cell>
          <cell r="E700" t="str">
            <v>421 99 00</v>
          </cell>
          <cell r="F700" t="str">
            <v>001</v>
          </cell>
        </row>
        <row r="701">
          <cell r="A701" t="str">
            <v>Увеличение стоимости основных средств</v>
          </cell>
          <cell r="B701" t="str">
            <v>903</v>
          </cell>
          <cell r="C701" t="str">
            <v>07</v>
          </cell>
          <cell r="D701" t="str">
            <v>02</v>
          </cell>
          <cell r="E701" t="str">
            <v>421 99 00</v>
          </cell>
          <cell r="F701" t="str">
            <v>001</v>
          </cell>
        </row>
        <row r="702">
          <cell r="A702" t="str">
            <v> 8.05.00.00</v>
          </cell>
          <cell r="B702" t="str">
            <v>903</v>
          </cell>
          <cell r="C702" t="str">
            <v>07</v>
          </cell>
          <cell r="D702" t="str">
            <v>02</v>
          </cell>
          <cell r="E702" t="str">
            <v>421 99 00</v>
          </cell>
          <cell r="F702" t="str">
            <v>001</v>
          </cell>
        </row>
        <row r="703">
          <cell r="A703" t="str">
            <v> 8.40,02</v>
          </cell>
          <cell r="B703" t="str">
            <v>903</v>
          </cell>
          <cell r="C703" t="str">
            <v>07</v>
          </cell>
          <cell r="D703" t="str">
            <v>02</v>
          </cell>
          <cell r="E703" t="str">
            <v>422 99 00</v>
          </cell>
          <cell r="F703" t="str">
            <v>001</v>
          </cell>
        </row>
        <row r="704">
          <cell r="A704" t="str">
            <v>Увеличение стоимости материальных запасов</v>
          </cell>
          <cell r="B704" t="str">
            <v>903</v>
          </cell>
          <cell r="C704" t="str">
            <v>07</v>
          </cell>
          <cell r="D704" t="str">
            <v>02</v>
          </cell>
          <cell r="E704" t="str">
            <v>421 99 00</v>
          </cell>
          <cell r="F704" t="str">
            <v>001</v>
          </cell>
        </row>
        <row r="705">
          <cell r="A705" t="str">
            <v> 8.05.00.00</v>
          </cell>
          <cell r="B705" t="str">
            <v>903</v>
          </cell>
          <cell r="C705" t="str">
            <v>07</v>
          </cell>
          <cell r="D705" t="str">
            <v>02</v>
          </cell>
          <cell r="E705" t="str">
            <v>421 99 00</v>
          </cell>
          <cell r="F705" t="str">
            <v>001</v>
          </cell>
        </row>
        <row r="706">
          <cell r="A706" t="str">
            <v> 8.05.00.01</v>
          </cell>
          <cell r="B706" t="str">
            <v>903</v>
          </cell>
          <cell r="C706" t="str">
            <v>07</v>
          </cell>
          <cell r="D706" t="str">
            <v>02</v>
          </cell>
          <cell r="E706" t="str">
            <v>422 99 00</v>
          </cell>
          <cell r="F706" t="str">
            <v>001</v>
          </cell>
        </row>
        <row r="707">
          <cell r="A707" t="str">
            <v> 8.05.00.02</v>
          </cell>
          <cell r="B707" t="str">
            <v>903</v>
          </cell>
          <cell r="C707" t="str">
            <v>07</v>
          </cell>
          <cell r="D707" t="str">
            <v>02</v>
          </cell>
          <cell r="E707" t="str">
            <v>423 99 00</v>
          </cell>
          <cell r="F707" t="str">
            <v>001</v>
          </cell>
        </row>
        <row r="708">
          <cell r="A708" t="str">
            <v> 8.05.00.03</v>
          </cell>
          <cell r="B708" t="str">
            <v>903</v>
          </cell>
          <cell r="C708" t="str">
            <v>07</v>
          </cell>
          <cell r="D708" t="str">
            <v>02</v>
          </cell>
          <cell r="E708" t="str">
            <v>424 99 00</v>
          </cell>
          <cell r="F708" t="str">
            <v>001</v>
          </cell>
        </row>
        <row r="709">
          <cell r="A709" t="str">
            <v> 8.05.00.04</v>
          </cell>
          <cell r="B709" t="str">
            <v>903</v>
          </cell>
          <cell r="C709" t="str">
            <v>07</v>
          </cell>
          <cell r="D709" t="str">
            <v>02</v>
          </cell>
          <cell r="E709" t="str">
            <v>425 99 00</v>
          </cell>
          <cell r="F709" t="str">
            <v>001</v>
          </cell>
        </row>
        <row r="710">
          <cell r="A710" t="str">
            <v> 8.05.00.05</v>
          </cell>
          <cell r="B710" t="str">
            <v>903</v>
          </cell>
          <cell r="C710" t="str">
            <v>07</v>
          </cell>
          <cell r="D710" t="str">
            <v>02</v>
          </cell>
          <cell r="E710" t="str">
            <v>426 99 00</v>
          </cell>
          <cell r="F710" t="str">
            <v>001</v>
          </cell>
        </row>
        <row r="711">
          <cell r="A711" t="str">
            <v> 8.40,02</v>
          </cell>
          <cell r="B711" t="str">
            <v>903</v>
          </cell>
          <cell r="C711" t="str">
            <v>07</v>
          </cell>
          <cell r="D711" t="str">
            <v>02</v>
          </cell>
          <cell r="E711" t="str">
            <v>421 99 00</v>
          </cell>
          <cell r="F711" t="str">
            <v>001</v>
          </cell>
        </row>
        <row r="712">
          <cell r="A712" t="str">
            <v>Субсидии некоммерческим организациям</v>
          </cell>
          <cell r="B712" t="str">
            <v>903</v>
          </cell>
          <cell r="C712" t="str">
            <v>07</v>
          </cell>
          <cell r="D712" t="str">
            <v>02</v>
          </cell>
          <cell r="E712" t="str">
            <v>421 99 00</v>
          </cell>
          <cell r="F712" t="str">
            <v>019</v>
          </cell>
        </row>
        <row r="713">
          <cell r="A713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713" t="str">
            <v>903</v>
          </cell>
          <cell r="C713" t="str">
            <v>07</v>
          </cell>
          <cell r="D713" t="str">
            <v>02</v>
          </cell>
          <cell r="E713" t="str">
            <v>590 00 00</v>
          </cell>
          <cell r="F713" t="str">
            <v>000</v>
          </cell>
        </row>
        <row r="714">
          <cell r="A714" t="str">
            <v>Выполнение функций бюджетными учреждениями</v>
          </cell>
          <cell r="B714" t="str">
            <v>903</v>
          </cell>
          <cell r="C714" t="str">
            <v>07</v>
          </cell>
          <cell r="D714" t="str">
            <v>02</v>
          </cell>
          <cell r="E714" t="str">
            <v>590 00 00</v>
          </cell>
          <cell r="F714" t="str">
            <v>001</v>
          </cell>
        </row>
        <row r="715">
          <cell r="A715" t="str">
            <v>Субсидии некоммерческим организациям</v>
          </cell>
          <cell r="B715" t="str">
            <v>903</v>
          </cell>
          <cell r="C715" t="str">
            <v>07</v>
          </cell>
          <cell r="D715" t="str">
            <v>02</v>
          </cell>
          <cell r="E715" t="str">
            <v>590 00 00</v>
          </cell>
          <cell r="F715" t="str">
            <v>019</v>
          </cell>
        </row>
        <row r="716">
          <cell r="A716" t="str">
            <v>Погашение просроченной кредиторской задолженности по состоянию на 1 апреля 2012 года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</v>
          </cell>
          <cell r="B716" t="str">
            <v>903</v>
          </cell>
          <cell r="C716" t="str">
            <v>07</v>
          </cell>
          <cell r="D716" t="str">
            <v>02</v>
          </cell>
          <cell r="E716" t="str">
            <v>594 00 00</v>
          </cell>
          <cell r="F716" t="str">
            <v>000</v>
          </cell>
        </row>
        <row r="717">
          <cell r="A717" t="str">
            <v>Субсидии некоммерческим организациям</v>
          </cell>
          <cell r="B717" t="str">
            <v>903</v>
          </cell>
          <cell r="C717" t="str">
            <v>07</v>
          </cell>
          <cell r="D717" t="str">
            <v>02</v>
          </cell>
          <cell r="E717" t="str">
            <v>594 00 00</v>
          </cell>
          <cell r="F717" t="str">
            <v>019</v>
          </cell>
        </row>
        <row r="718">
          <cell r="A718" t="str">
            <v>Субвенции на обеспечение госуд. гарантий прав граждан на поблучение общедоступного и бесплатного дошкольного, начального общего, основного общего, среднего (полного) общего образования, а так же дополнительного образования в общеобразовательных учреждения</v>
          </cell>
          <cell r="B718" t="str">
            <v>903</v>
          </cell>
          <cell r="C718" t="str">
            <v>07</v>
          </cell>
          <cell r="D718" t="str">
            <v>02</v>
          </cell>
          <cell r="E718" t="str">
            <v>002 50 00</v>
          </cell>
          <cell r="F718" t="str">
            <v>000</v>
          </cell>
        </row>
        <row r="719">
          <cell r="A719" t="str">
            <v>Обеспечение деятельности подведомственных учреждений</v>
          </cell>
          <cell r="B719" t="str">
            <v>903</v>
          </cell>
          <cell r="C719" t="str">
            <v>07</v>
          </cell>
          <cell r="D719" t="str">
            <v>02</v>
          </cell>
          <cell r="E719" t="str">
            <v>002 50 00</v>
          </cell>
          <cell r="F719" t="str">
            <v>000</v>
          </cell>
        </row>
        <row r="720">
          <cell r="A720" t="str">
            <v>Выполнение функций бюджетными учреждениями</v>
          </cell>
          <cell r="B720" t="str">
            <v>903</v>
          </cell>
          <cell r="C720" t="str">
            <v>07</v>
          </cell>
          <cell r="D720" t="str">
            <v>02</v>
          </cell>
          <cell r="E720" t="str">
            <v>002 50 00</v>
          </cell>
          <cell r="F720" t="str">
            <v>001</v>
          </cell>
        </row>
        <row r="721">
          <cell r="A721" t="str">
            <v>Расходы</v>
          </cell>
          <cell r="B721" t="str">
            <v>903</v>
          </cell>
          <cell r="C721" t="str">
            <v>07</v>
          </cell>
          <cell r="D721" t="str">
            <v>02</v>
          </cell>
          <cell r="E721" t="str">
            <v>002 50 00</v>
          </cell>
          <cell r="F721" t="str">
            <v>001</v>
          </cell>
        </row>
        <row r="722">
          <cell r="A722" t="str">
            <v>Оплата труда и начисления на оплату труда</v>
          </cell>
          <cell r="B722" t="str">
            <v>903</v>
          </cell>
          <cell r="C722" t="str">
            <v>07</v>
          </cell>
          <cell r="D722" t="str">
            <v>02</v>
          </cell>
          <cell r="E722" t="str">
            <v>002 50 00</v>
          </cell>
          <cell r="F722" t="str">
            <v>001</v>
          </cell>
        </row>
        <row r="723">
          <cell r="A723" t="str">
            <v>Заработная плата</v>
          </cell>
          <cell r="B723" t="str">
            <v>903</v>
          </cell>
          <cell r="C723" t="str">
            <v>07</v>
          </cell>
          <cell r="D723" t="str">
            <v>02</v>
          </cell>
          <cell r="E723" t="str">
            <v>002 50 00</v>
          </cell>
          <cell r="F723" t="str">
            <v>001</v>
          </cell>
        </row>
        <row r="724">
          <cell r="A724" t="str">
            <v>Начисление на оплату труда</v>
          </cell>
          <cell r="B724" t="str">
            <v>903</v>
          </cell>
          <cell r="C724" t="str">
            <v>07</v>
          </cell>
          <cell r="D724" t="str">
            <v>02</v>
          </cell>
          <cell r="E724" t="str">
            <v>002 50 00</v>
          </cell>
          <cell r="F724" t="str">
            <v>001</v>
          </cell>
        </row>
        <row r="725">
          <cell r="A725" t="str">
            <v>Приобретение услуг</v>
          </cell>
          <cell r="B725" t="str">
            <v>903</v>
          </cell>
          <cell r="C725" t="str">
            <v>07</v>
          </cell>
          <cell r="D725" t="str">
            <v>02</v>
          </cell>
          <cell r="E725" t="str">
            <v>002 50 00</v>
          </cell>
          <cell r="F725" t="str">
            <v>001</v>
          </cell>
        </row>
        <row r="726">
          <cell r="A726" t="str">
            <v>Услуги связи </v>
          </cell>
          <cell r="B726" t="str">
            <v>903</v>
          </cell>
          <cell r="C726" t="str">
            <v>07</v>
          </cell>
          <cell r="D726" t="str">
            <v>02</v>
          </cell>
          <cell r="E726" t="str">
            <v>002 50 00</v>
          </cell>
          <cell r="F726" t="str">
            <v>001</v>
          </cell>
        </row>
        <row r="727">
          <cell r="A727" t="str">
            <v>Прочие услуги</v>
          </cell>
          <cell r="B727" t="str">
            <v>903</v>
          </cell>
          <cell r="C727" t="str">
            <v>07</v>
          </cell>
          <cell r="D727" t="str">
            <v>02</v>
          </cell>
          <cell r="E727" t="str">
            <v>002 50 00</v>
          </cell>
          <cell r="F727" t="str">
            <v>001</v>
          </cell>
        </row>
        <row r="728">
          <cell r="A728" t="str">
            <v>Поступление нефинансовых активов</v>
          </cell>
          <cell r="B728" t="str">
            <v>903</v>
          </cell>
          <cell r="C728" t="str">
            <v>07</v>
          </cell>
          <cell r="D728" t="str">
            <v>02</v>
          </cell>
          <cell r="E728" t="str">
            <v>002 50 00</v>
          </cell>
          <cell r="F728" t="str">
            <v>001</v>
          </cell>
        </row>
        <row r="729">
          <cell r="A729" t="str">
            <v>Увеличение стоимости основных средств</v>
          </cell>
          <cell r="B729" t="str">
            <v>903</v>
          </cell>
          <cell r="C729" t="str">
            <v>07</v>
          </cell>
          <cell r="D729" t="str">
            <v>02</v>
          </cell>
          <cell r="E729" t="str">
            <v>002 50 00</v>
          </cell>
          <cell r="F729" t="str">
            <v>001</v>
          </cell>
        </row>
        <row r="730">
          <cell r="A730" t="str">
            <v>Субсидии некоммерческим организациям</v>
          </cell>
          <cell r="B730" t="str">
            <v>903</v>
          </cell>
          <cell r="C730" t="str">
            <v>07</v>
          </cell>
          <cell r="D730" t="str">
            <v>02</v>
          </cell>
          <cell r="E730" t="str">
            <v>002 50 00</v>
          </cell>
          <cell r="F730" t="str">
            <v>019</v>
          </cell>
        </row>
        <row r="731">
          <cell r="A731" t="str">
            <v>Учреждения по внешкольной работе с детьми</v>
          </cell>
          <cell r="C731" t="str">
            <v>07</v>
          </cell>
          <cell r="D731" t="str">
            <v>02</v>
          </cell>
          <cell r="E731" t="str">
            <v>423 00 00</v>
          </cell>
          <cell r="F731" t="str">
            <v>000</v>
          </cell>
        </row>
        <row r="732">
          <cell r="A732" t="str">
            <v>Обеспечение деятельности подведомственных учреждений</v>
          </cell>
          <cell r="B732" t="str">
            <v>903</v>
          </cell>
          <cell r="C732" t="str">
            <v>07</v>
          </cell>
          <cell r="D732" t="str">
            <v>02</v>
          </cell>
          <cell r="E732" t="str">
            <v>423 99 00</v>
          </cell>
          <cell r="F732" t="str">
            <v>000</v>
          </cell>
        </row>
        <row r="733">
          <cell r="A733" t="str">
            <v>Выполнение функций бюджетными учреждениями</v>
          </cell>
          <cell r="B733" t="str">
            <v>903</v>
          </cell>
          <cell r="C733" t="str">
            <v>07</v>
          </cell>
          <cell r="D733" t="str">
            <v>02</v>
          </cell>
          <cell r="E733" t="str">
            <v>423 99 00</v>
          </cell>
          <cell r="F733" t="str">
            <v>001</v>
          </cell>
        </row>
        <row r="734">
          <cell r="A734" t="str">
            <v>Расходы</v>
          </cell>
          <cell r="B734" t="str">
            <v>903</v>
          </cell>
          <cell r="C734" t="str">
            <v>07</v>
          </cell>
          <cell r="D734" t="str">
            <v>02</v>
          </cell>
          <cell r="E734" t="str">
            <v>423 99 00</v>
          </cell>
          <cell r="F734" t="str">
            <v>001</v>
          </cell>
        </row>
        <row r="735">
          <cell r="A735" t="str">
            <v>Оплата труда и начисления на оплату труда</v>
          </cell>
          <cell r="B735" t="str">
            <v>903</v>
          </cell>
          <cell r="C735" t="str">
            <v>07</v>
          </cell>
          <cell r="D735" t="str">
            <v>02</v>
          </cell>
          <cell r="E735" t="str">
            <v>423 99 00</v>
          </cell>
          <cell r="F735" t="str">
            <v>001</v>
          </cell>
        </row>
        <row r="736">
          <cell r="A736" t="str">
            <v>Заработная плата</v>
          </cell>
          <cell r="B736" t="str">
            <v>903</v>
          </cell>
          <cell r="C736" t="str">
            <v>07</v>
          </cell>
          <cell r="D736" t="str">
            <v>02</v>
          </cell>
          <cell r="E736" t="str">
            <v>423 99 00</v>
          </cell>
          <cell r="F736" t="str">
            <v>001</v>
          </cell>
        </row>
        <row r="737">
          <cell r="A737" t="str">
            <v>Прочие выплаты</v>
          </cell>
          <cell r="B737" t="str">
            <v>903</v>
          </cell>
          <cell r="C737" t="str">
            <v>07</v>
          </cell>
          <cell r="D737" t="str">
            <v>02</v>
          </cell>
          <cell r="E737" t="str">
            <v>423 99 00</v>
          </cell>
          <cell r="F737" t="str">
            <v>001</v>
          </cell>
        </row>
        <row r="738">
          <cell r="A738" t="str">
            <v>Начисление на оплату труда</v>
          </cell>
          <cell r="B738" t="str">
            <v>903</v>
          </cell>
          <cell r="C738" t="str">
            <v>07</v>
          </cell>
          <cell r="D738" t="str">
            <v>02</v>
          </cell>
          <cell r="E738" t="str">
            <v>423 99 00</v>
          </cell>
          <cell r="F738" t="str">
            <v>001</v>
          </cell>
        </row>
        <row r="739">
          <cell r="A739" t="str">
            <v>Приобретение услуг</v>
          </cell>
          <cell r="B739" t="str">
            <v>903</v>
          </cell>
          <cell r="C739" t="str">
            <v>07</v>
          </cell>
          <cell r="D739" t="str">
            <v>02</v>
          </cell>
          <cell r="E739" t="str">
            <v>423 99 00</v>
          </cell>
          <cell r="F739" t="str">
            <v>001</v>
          </cell>
        </row>
        <row r="740">
          <cell r="A740" t="str">
            <v>Услуги связи </v>
          </cell>
          <cell r="B740" t="str">
            <v>903</v>
          </cell>
          <cell r="C740" t="str">
            <v>07</v>
          </cell>
          <cell r="D740" t="str">
            <v>02</v>
          </cell>
          <cell r="E740" t="str">
            <v>423 99 00</v>
          </cell>
          <cell r="F740" t="str">
            <v>001</v>
          </cell>
        </row>
        <row r="741">
          <cell r="A741" t="str">
            <v>Транспортные услуги</v>
          </cell>
          <cell r="B741" t="str">
            <v>903</v>
          </cell>
          <cell r="C741" t="str">
            <v>07</v>
          </cell>
          <cell r="D741" t="str">
            <v>02</v>
          </cell>
          <cell r="E741" t="str">
            <v>423 99 00</v>
          </cell>
          <cell r="F741" t="str">
            <v>001</v>
          </cell>
        </row>
        <row r="742">
          <cell r="A742" t="str">
            <v>Коммунальные услуги</v>
          </cell>
          <cell r="B742" t="str">
            <v>903</v>
          </cell>
          <cell r="C742" t="str">
            <v>07</v>
          </cell>
          <cell r="D742" t="str">
            <v>02</v>
          </cell>
          <cell r="E742" t="str">
            <v>423 99 00</v>
          </cell>
          <cell r="F742" t="str">
            <v>001</v>
          </cell>
        </row>
        <row r="743">
          <cell r="A743" t="str">
            <v>Арендная плата за пользование иммуществом </v>
          </cell>
          <cell r="B743" t="str">
            <v>903</v>
          </cell>
          <cell r="C743" t="str">
            <v>07</v>
          </cell>
          <cell r="D743" t="str">
            <v>02</v>
          </cell>
          <cell r="E743" t="str">
            <v>423 99 00</v>
          </cell>
          <cell r="F743" t="str">
            <v>001</v>
          </cell>
        </row>
        <row r="744">
          <cell r="A744" t="str">
            <v>Услуги по содержанию иммущества</v>
          </cell>
          <cell r="B744" t="str">
            <v>903</v>
          </cell>
          <cell r="C744" t="str">
            <v>07</v>
          </cell>
          <cell r="D744" t="str">
            <v>02</v>
          </cell>
          <cell r="E744" t="str">
            <v>423 99 00</v>
          </cell>
          <cell r="F744" t="str">
            <v>001</v>
          </cell>
        </row>
        <row r="745">
          <cell r="A745" t="str">
            <v>Услуги по содержанию иммущества 8,40,00</v>
          </cell>
          <cell r="B745" t="str">
            <v>903</v>
          </cell>
          <cell r="C745" t="str">
            <v>07</v>
          </cell>
          <cell r="D745" t="str">
            <v>02</v>
          </cell>
          <cell r="E745" t="str">
            <v>423 99 00</v>
          </cell>
          <cell r="F745" t="str">
            <v>001</v>
          </cell>
        </row>
        <row r="746">
          <cell r="A746" t="str">
            <v>Прочие услуги</v>
          </cell>
          <cell r="B746" t="str">
            <v>903</v>
          </cell>
          <cell r="C746" t="str">
            <v>07</v>
          </cell>
          <cell r="D746" t="str">
            <v>02</v>
          </cell>
          <cell r="E746" t="str">
            <v>423 99 00</v>
          </cell>
          <cell r="F746" t="str">
            <v>001</v>
          </cell>
        </row>
        <row r="747">
          <cell r="A747" t="str">
            <v>Прочие расходы </v>
          </cell>
          <cell r="B747" t="str">
            <v>903</v>
          </cell>
          <cell r="C747" t="str">
            <v>07</v>
          </cell>
          <cell r="D747" t="str">
            <v>02</v>
          </cell>
          <cell r="E747" t="str">
            <v>423 99 00</v>
          </cell>
          <cell r="F747" t="str">
            <v>001</v>
          </cell>
        </row>
        <row r="748">
          <cell r="A748" t="str">
            <v>Поступление нефинансовых активов</v>
          </cell>
          <cell r="B748" t="str">
            <v>903</v>
          </cell>
          <cell r="C748" t="str">
            <v>07</v>
          </cell>
          <cell r="D748" t="str">
            <v>02</v>
          </cell>
          <cell r="E748" t="str">
            <v>423 99 00</v>
          </cell>
          <cell r="F748" t="str">
            <v>001</v>
          </cell>
        </row>
        <row r="749">
          <cell r="A749" t="str">
            <v>Увеличение стоимости основных средств</v>
          </cell>
          <cell r="B749" t="str">
            <v>903</v>
          </cell>
          <cell r="C749" t="str">
            <v>07</v>
          </cell>
          <cell r="D749" t="str">
            <v>02</v>
          </cell>
          <cell r="E749" t="str">
            <v>423 99 00</v>
          </cell>
          <cell r="F749" t="str">
            <v>001</v>
          </cell>
        </row>
        <row r="750">
          <cell r="A750" t="str">
            <v>Увеличение стоимости материальных запасов</v>
          </cell>
          <cell r="B750" t="str">
            <v>903</v>
          </cell>
          <cell r="C750" t="str">
            <v>07</v>
          </cell>
          <cell r="D750" t="str">
            <v>02</v>
          </cell>
          <cell r="E750" t="str">
            <v>423 99 00</v>
          </cell>
          <cell r="F750" t="str">
            <v>001</v>
          </cell>
        </row>
        <row r="751">
          <cell r="A751" t="str">
            <v>Мероприятия по организации оздоровительной кампании детей </v>
          </cell>
          <cell r="B751" t="str">
            <v>903</v>
          </cell>
          <cell r="C751" t="str">
            <v>07</v>
          </cell>
          <cell r="D751" t="str">
            <v>07</v>
          </cell>
          <cell r="E751" t="str">
            <v>432 01 00</v>
          </cell>
          <cell r="F751" t="str">
            <v>000</v>
          </cell>
        </row>
        <row r="752">
          <cell r="B752" t="str">
            <v>903</v>
          </cell>
          <cell r="C752" t="str">
            <v>07</v>
          </cell>
          <cell r="D752" t="str">
            <v>02</v>
          </cell>
          <cell r="E752" t="str">
            <v>432 20 00</v>
          </cell>
          <cell r="F752" t="str">
            <v>000</v>
          </cell>
        </row>
        <row r="753">
          <cell r="A753" t="str">
            <v>Мероприятия по организации оздоровительной кампании детей за счет средств областного бюджета </v>
          </cell>
          <cell r="B753" t="str">
            <v>903</v>
          </cell>
          <cell r="C753" t="str">
            <v>07</v>
          </cell>
          <cell r="D753" t="str">
            <v>07</v>
          </cell>
          <cell r="E753" t="str">
            <v>432 01 01</v>
          </cell>
          <cell r="F753" t="str">
            <v>001</v>
          </cell>
        </row>
        <row r="754">
          <cell r="A754" t="str">
            <v>Поступление нефинансовых активов</v>
          </cell>
          <cell r="B754" t="str">
            <v>903</v>
          </cell>
          <cell r="C754" t="str">
            <v>07</v>
          </cell>
          <cell r="D754" t="str">
            <v>07</v>
          </cell>
          <cell r="E754" t="str">
            <v>432 01 01</v>
          </cell>
          <cell r="F754" t="str">
            <v>001</v>
          </cell>
        </row>
        <row r="755">
          <cell r="A755" t="str">
            <v>Увеличение стоимости материальных запасов</v>
          </cell>
          <cell r="B755" t="str">
            <v>903</v>
          </cell>
          <cell r="C755" t="str">
            <v>07</v>
          </cell>
          <cell r="D755" t="str">
            <v>07</v>
          </cell>
          <cell r="E755" t="str">
            <v>432 01 01</v>
          </cell>
          <cell r="F755" t="str">
            <v>001</v>
          </cell>
        </row>
        <row r="756">
          <cell r="A756" t="str">
            <v>Мероприятия по организации оздоровительной кампании детей за счет средств местного бюджета </v>
          </cell>
          <cell r="B756" t="str">
            <v>903</v>
          </cell>
          <cell r="C756" t="str">
            <v>07</v>
          </cell>
          <cell r="D756" t="str">
            <v>07</v>
          </cell>
          <cell r="E756" t="str">
            <v>432 01 02</v>
          </cell>
          <cell r="F756" t="str">
            <v>001</v>
          </cell>
        </row>
        <row r="757">
          <cell r="A757" t="str">
            <v>Поступление нефинансовых активов</v>
          </cell>
          <cell r="B757" t="str">
            <v>903</v>
          </cell>
          <cell r="C757" t="str">
            <v>07</v>
          </cell>
          <cell r="D757" t="str">
            <v>07</v>
          </cell>
          <cell r="E757" t="str">
            <v>432 01 02</v>
          </cell>
          <cell r="F757" t="str">
            <v>001</v>
          </cell>
        </row>
        <row r="758">
          <cell r="A758" t="str">
            <v>Увеличение стоимости материальных запасов</v>
          </cell>
          <cell r="B758" t="str">
            <v>903</v>
          </cell>
          <cell r="C758" t="str">
            <v>07</v>
          </cell>
          <cell r="D758" t="str">
            <v>07</v>
          </cell>
          <cell r="E758" t="str">
            <v>432 01 02</v>
          </cell>
          <cell r="F758" t="str">
            <v>001</v>
          </cell>
        </row>
        <row r="759">
          <cell r="A759" t="str">
            <v>Закупка автотранспотрных средств и коммунальной техники </v>
          </cell>
          <cell r="B759" t="str">
            <v>903</v>
          </cell>
          <cell r="C759" t="str">
            <v>07</v>
          </cell>
          <cell r="D759" t="str">
            <v>02</v>
          </cell>
          <cell r="E759" t="str">
            <v>340 07 02</v>
          </cell>
          <cell r="F759" t="str">
            <v>001</v>
          </cell>
        </row>
        <row r="760">
          <cell r="A760" t="str">
            <v>Обеспечение деятельности подведомственных учреждений</v>
          </cell>
          <cell r="B760" t="str">
            <v>903</v>
          </cell>
          <cell r="C760" t="str">
            <v>07</v>
          </cell>
          <cell r="D760" t="str">
            <v>02</v>
          </cell>
          <cell r="E760" t="str">
            <v>340 07 02</v>
          </cell>
          <cell r="F760" t="str">
            <v>001</v>
          </cell>
        </row>
        <row r="761">
          <cell r="A761" t="str">
            <v>Выполнение функций бюджетными учреждениями</v>
          </cell>
          <cell r="B761" t="str">
            <v>903</v>
          </cell>
          <cell r="C761" t="str">
            <v>07</v>
          </cell>
          <cell r="D761" t="str">
            <v>02</v>
          </cell>
          <cell r="E761" t="str">
            <v>340 07 02</v>
          </cell>
          <cell r="F761" t="str">
            <v>001</v>
          </cell>
        </row>
        <row r="762">
          <cell r="A762" t="str">
            <v>Поступление нефинансовых активов</v>
          </cell>
          <cell r="B762" t="str">
            <v>903</v>
          </cell>
          <cell r="C762" t="str">
            <v>07</v>
          </cell>
          <cell r="D762" t="str">
            <v>02</v>
          </cell>
          <cell r="E762" t="str">
            <v>340 07 02</v>
          </cell>
          <cell r="F762" t="str">
            <v>001</v>
          </cell>
        </row>
        <row r="763">
          <cell r="A763" t="str">
            <v>Увеличение стоимости основных средств</v>
          </cell>
          <cell r="B763" t="str">
            <v>903</v>
          </cell>
          <cell r="C763" t="str">
            <v>07</v>
          </cell>
          <cell r="D763" t="str">
            <v>02</v>
          </cell>
          <cell r="E763" t="str">
            <v>340 07 02</v>
          </cell>
          <cell r="F763" t="str">
            <v>001</v>
          </cell>
        </row>
        <row r="766">
          <cell r="A766" t="str">
            <v>Субсидии некоммерческим организациям</v>
          </cell>
          <cell r="B766" t="str">
            <v>903</v>
          </cell>
          <cell r="C766" t="str">
            <v>07</v>
          </cell>
          <cell r="D766" t="str">
            <v>02</v>
          </cell>
          <cell r="E766" t="str">
            <v>423 99 00</v>
          </cell>
          <cell r="F766" t="str">
            <v>019</v>
          </cell>
        </row>
        <row r="767">
          <cell r="A767" t="str">
            <v>Учреждения по внешкольной работе с детьми ( музыкальные школы)</v>
          </cell>
          <cell r="B767" t="str">
            <v>905</v>
          </cell>
          <cell r="C767" t="str">
            <v>07</v>
          </cell>
          <cell r="D767" t="str">
            <v>02</v>
          </cell>
          <cell r="E767" t="str">
            <v>423 00 00</v>
          </cell>
          <cell r="F767" t="str">
            <v>000</v>
          </cell>
        </row>
        <row r="768">
          <cell r="A768" t="str">
            <v>Обеспечение деятельности подведомственных учреждений</v>
          </cell>
          <cell r="B768" t="str">
            <v>905</v>
          </cell>
          <cell r="C768" t="str">
            <v>07</v>
          </cell>
          <cell r="D768" t="str">
            <v>02</v>
          </cell>
          <cell r="E768" t="str">
            <v>423 99 00</v>
          </cell>
          <cell r="F768" t="str">
            <v>000</v>
          </cell>
        </row>
        <row r="769">
          <cell r="A769" t="str">
            <v>Субсидии некоммерческим организациям</v>
          </cell>
          <cell r="B769" t="str">
            <v>905</v>
          </cell>
          <cell r="C769" t="str">
            <v>07</v>
          </cell>
          <cell r="D769" t="str">
            <v>02</v>
          </cell>
          <cell r="E769" t="str">
            <v>423 99 00</v>
          </cell>
          <cell r="F769" t="str">
            <v>019</v>
          </cell>
        </row>
        <row r="770">
          <cell r="A770" t="str">
            <v>Расходы</v>
          </cell>
          <cell r="B770" t="str">
            <v>905</v>
          </cell>
          <cell r="C770" t="str">
            <v>07</v>
          </cell>
          <cell r="D770" t="str">
            <v>02</v>
          </cell>
          <cell r="E770" t="str">
            <v>423 99 00</v>
          </cell>
          <cell r="F770" t="str">
            <v>001</v>
          </cell>
        </row>
        <row r="771">
          <cell r="A771" t="str">
            <v>Оплата труда и начисления на оплату труда</v>
          </cell>
          <cell r="B771" t="str">
            <v>905</v>
          </cell>
          <cell r="C771" t="str">
            <v>07</v>
          </cell>
          <cell r="D771" t="str">
            <v>02</v>
          </cell>
          <cell r="E771" t="str">
            <v>423 99 00</v>
          </cell>
          <cell r="F771" t="str">
            <v>001</v>
          </cell>
        </row>
        <row r="772">
          <cell r="A772" t="str">
            <v>Заработная плата</v>
          </cell>
          <cell r="B772" t="str">
            <v>905</v>
          </cell>
          <cell r="C772" t="str">
            <v>07</v>
          </cell>
          <cell r="D772" t="str">
            <v>02</v>
          </cell>
          <cell r="E772" t="str">
            <v>423 99 00</v>
          </cell>
          <cell r="F772" t="str">
            <v>001</v>
          </cell>
        </row>
        <row r="773">
          <cell r="A773" t="str">
            <v>Прочие выплаты</v>
          </cell>
          <cell r="B773" t="str">
            <v>905</v>
          </cell>
          <cell r="C773" t="str">
            <v>07</v>
          </cell>
          <cell r="D773" t="str">
            <v>02</v>
          </cell>
          <cell r="E773" t="str">
            <v>423 99 00</v>
          </cell>
          <cell r="F773" t="str">
            <v>001</v>
          </cell>
        </row>
        <row r="774">
          <cell r="A774" t="str">
            <v>льготы  пед. работникам 8.01.10.00</v>
          </cell>
          <cell r="B774" t="str">
            <v>905</v>
          </cell>
          <cell r="C774" t="str">
            <v>07</v>
          </cell>
          <cell r="D774" t="str">
            <v>02</v>
          </cell>
          <cell r="E774" t="str">
            <v>424 99 00</v>
          </cell>
          <cell r="F774" t="str">
            <v>001</v>
          </cell>
        </row>
        <row r="775">
          <cell r="A775" t="str">
            <v>Начисление на оплату труда</v>
          </cell>
          <cell r="B775" t="str">
            <v>905</v>
          </cell>
          <cell r="C775" t="str">
            <v>07</v>
          </cell>
          <cell r="D775" t="str">
            <v>02</v>
          </cell>
          <cell r="E775" t="str">
            <v>423 99 00</v>
          </cell>
          <cell r="F775" t="str">
            <v>001</v>
          </cell>
        </row>
        <row r="776">
          <cell r="A776" t="str">
            <v>Приобретение услуг</v>
          </cell>
          <cell r="B776" t="str">
            <v>905</v>
          </cell>
          <cell r="C776" t="str">
            <v>07</v>
          </cell>
          <cell r="D776" t="str">
            <v>02</v>
          </cell>
          <cell r="E776" t="str">
            <v>423 99 00</v>
          </cell>
          <cell r="F776" t="str">
            <v>001</v>
          </cell>
        </row>
        <row r="777">
          <cell r="A777" t="str">
            <v>Услуги связи </v>
          </cell>
          <cell r="B777" t="str">
            <v>905</v>
          </cell>
          <cell r="C777" t="str">
            <v>07</v>
          </cell>
          <cell r="D777" t="str">
            <v>02</v>
          </cell>
          <cell r="E777" t="str">
            <v>423 99 00</v>
          </cell>
          <cell r="F777" t="str">
            <v>001</v>
          </cell>
        </row>
        <row r="778">
          <cell r="A778" t="str">
            <v>Транспортные услуги</v>
          </cell>
          <cell r="B778" t="str">
            <v>905</v>
          </cell>
          <cell r="C778" t="str">
            <v>07</v>
          </cell>
          <cell r="D778" t="str">
            <v>02</v>
          </cell>
          <cell r="E778" t="str">
            <v>423 99 00</v>
          </cell>
          <cell r="F778" t="str">
            <v>001</v>
          </cell>
        </row>
        <row r="779">
          <cell r="A779" t="str">
            <v>Коммунальные услуги</v>
          </cell>
          <cell r="B779" t="str">
            <v>905</v>
          </cell>
          <cell r="C779" t="str">
            <v>07</v>
          </cell>
          <cell r="D779" t="str">
            <v>02</v>
          </cell>
          <cell r="E779" t="str">
            <v>423 99 00</v>
          </cell>
          <cell r="F779" t="str">
            <v>001</v>
          </cell>
        </row>
        <row r="780">
          <cell r="A780" t="str">
            <v>Арендная плата за пользование иммуществом </v>
          </cell>
          <cell r="B780" t="str">
            <v>905</v>
          </cell>
          <cell r="C780" t="str">
            <v>07</v>
          </cell>
          <cell r="D780" t="str">
            <v>02</v>
          </cell>
          <cell r="E780" t="str">
            <v>423 99 00</v>
          </cell>
          <cell r="F780" t="str">
            <v>001</v>
          </cell>
        </row>
        <row r="781">
          <cell r="A781" t="str">
            <v>Услуги по содержанию иммущества</v>
          </cell>
          <cell r="B781" t="str">
            <v>905</v>
          </cell>
          <cell r="C781" t="str">
            <v>07</v>
          </cell>
          <cell r="D781" t="str">
            <v>02</v>
          </cell>
          <cell r="E781" t="str">
            <v>423 99 00</v>
          </cell>
          <cell r="F781" t="str">
            <v>001</v>
          </cell>
        </row>
        <row r="782">
          <cell r="A782" t="str">
            <v>Услуги по содержанию иммущества 8.40.01</v>
          </cell>
          <cell r="B782" t="str">
            <v>905</v>
          </cell>
          <cell r="C782" t="str">
            <v>07</v>
          </cell>
          <cell r="D782" t="str">
            <v>02</v>
          </cell>
          <cell r="E782" t="str">
            <v>423 99 00</v>
          </cell>
          <cell r="F782" t="str">
            <v>001</v>
          </cell>
        </row>
        <row r="783">
          <cell r="A783" t="str">
            <v>Услуги по содержанию иммущества 8.40.02</v>
          </cell>
          <cell r="B783" t="str">
            <v>905</v>
          </cell>
          <cell r="C783" t="str">
            <v>07</v>
          </cell>
          <cell r="D783" t="str">
            <v>02</v>
          </cell>
          <cell r="E783" t="str">
            <v>423 99 00</v>
          </cell>
          <cell r="F783" t="str">
            <v>001</v>
          </cell>
        </row>
        <row r="784">
          <cell r="A784" t="str">
            <v>Прочие услуги</v>
          </cell>
          <cell r="B784" t="str">
            <v>905</v>
          </cell>
          <cell r="C784" t="str">
            <v>07</v>
          </cell>
          <cell r="D784" t="str">
            <v>02</v>
          </cell>
          <cell r="E784" t="str">
            <v>423 99 00</v>
          </cell>
          <cell r="F784" t="str">
            <v>001</v>
          </cell>
        </row>
        <row r="785">
          <cell r="A785" t="str">
            <v>Социальное обеспечение</v>
          </cell>
          <cell r="B785" t="str">
            <v>905</v>
          </cell>
          <cell r="C785" t="str">
            <v>07</v>
          </cell>
          <cell r="D785" t="str">
            <v>02</v>
          </cell>
          <cell r="E785" t="str">
            <v>423 99 00</v>
          </cell>
          <cell r="F785" t="str">
            <v>001</v>
          </cell>
        </row>
        <row r="786">
          <cell r="A786" t="str">
            <v>Пособия по социальной помощи населению</v>
          </cell>
          <cell r="B786" t="str">
            <v>905</v>
          </cell>
          <cell r="C786" t="str">
            <v>07</v>
          </cell>
          <cell r="D786" t="str">
            <v>02</v>
          </cell>
          <cell r="E786" t="str">
            <v>423 99 00</v>
          </cell>
          <cell r="F786" t="str">
            <v>001</v>
          </cell>
        </row>
        <row r="787">
          <cell r="A787" t="str">
            <v>Прочие расходы </v>
          </cell>
          <cell r="B787" t="str">
            <v>905</v>
          </cell>
          <cell r="C787" t="str">
            <v>07</v>
          </cell>
          <cell r="D787" t="str">
            <v>02</v>
          </cell>
          <cell r="E787" t="str">
            <v>423 99 00</v>
          </cell>
          <cell r="F787" t="str">
            <v>001</v>
          </cell>
        </row>
        <row r="788">
          <cell r="A788" t="str">
            <v>Поступление нефинансовых активов</v>
          </cell>
          <cell r="B788" t="str">
            <v>905</v>
          </cell>
          <cell r="C788" t="str">
            <v>07</v>
          </cell>
          <cell r="D788" t="str">
            <v>02</v>
          </cell>
          <cell r="E788" t="str">
            <v>423 99 00</v>
          </cell>
          <cell r="F788" t="str">
            <v>001</v>
          </cell>
        </row>
        <row r="789">
          <cell r="A789" t="str">
            <v>Увеличение стоимости основных средств</v>
          </cell>
          <cell r="B789" t="str">
            <v>905</v>
          </cell>
          <cell r="C789" t="str">
            <v>07</v>
          </cell>
          <cell r="D789" t="str">
            <v>02</v>
          </cell>
          <cell r="E789" t="str">
            <v>423 99 00</v>
          </cell>
          <cell r="F789" t="str">
            <v>001</v>
          </cell>
        </row>
        <row r="790">
          <cell r="A790" t="str">
            <v>Увеличение стоимости материальных запасов</v>
          </cell>
          <cell r="B790" t="str">
            <v>905</v>
          </cell>
          <cell r="C790" t="str">
            <v>07</v>
          </cell>
          <cell r="D790" t="str">
            <v>02</v>
          </cell>
          <cell r="E790" t="str">
            <v>423 99 00</v>
          </cell>
          <cell r="F790" t="str">
            <v>001</v>
          </cell>
        </row>
        <row r="791">
          <cell r="A791" t="str">
            <v>Увеличение стоимости материальных запасов 8,40,02</v>
          </cell>
          <cell r="B791" t="str">
            <v>901</v>
          </cell>
          <cell r="C791" t="str">
            <v>07</v>
          </cell>
          <cell r="D791" t="str">
            <v>02</v>
          </cell>
          <cell r="E791" t="str">
            <v>424 00 00</v>
          </cell>
          <cell r="F791" t="str">
            <v>000</v>
          </cell>
        </row>
        <row r="792">
          <cell r="A792" t="str">
            <v>Увеличение стоимости материальных запасов 8,40,03</v>
          </cell>
          <cell r="B792" t="str">
            <v>901</v>
          </cell>
          <cell r="C792" t="str">
            <v>07</v>
          </cell>
          <cell r="D792" t="str">
            <v>02</v>
          </cell>
          <cell r="E792" t="str">
            <v>424 00 00</v>
          </cell>
          <cell r="F792" t="str">
            <v>327</v>
          </cell>
        </row>
        <row r="793">
          <cell r="A793" t="str">
            <v>Увеличение стоимости материальных запасов 8,40,04</v>
          </cell>
          <cell r="B793" t="str">
            <v>901</v>
          </cell>
          <cell r="C793" t="str">
            <v>07</v>
          </cell>
          <cell r="D793" t="str">
            <v>02</v>
          </cell>
          <cell r="E793" t="str">
            <v>424 00 00</v>
          </cell>
          <cell r="F793" t="str">
            <v>327</v>
          </cell>
        </row>
        <row r="794">
          <cell r="A794" t="str">
            <v>Увеличение стоимости материальных запасов 8,40,05</v>
          </cell>
          <cell r="B794" t="str">
            <v>901</v>
          </cell>
          <cell r="C794" t="str">
            <v>07</v>
          </cell>
          <cell r="D794" t="str">
            <v>02</v>
          </cell>
          <cell r="E794" t="str">
            <v>424 00 00</v>
          </cell>
          <cell r="F794" t="str">
            <v>327</v>
          </cell>
        </row>
        <row r="795">
          <cell r="A795" t="str">
            <v>Увеличение стоимости материальных запасов 8,40,06</v>
          </cell>
          <cell r="B795" t="str">
            <v>901</v>
          </cell>
          <cell r="C795" t="str">
            <v>07</v>
          </cell>
          <cell r="D795" t="str">
            <v>02</v>
          </cell>
          <cell r="E795" t="str">
            <v>424 00 00</v>
          </cell>
          <cell r="F795" t="str">
            <v>327</v>
          </cell>
        </row>
        <row r="796">
          <cell r="A796" t="str">
            <v>Увеличение стоимости материальных запасов 8,40,07</v>
          </cell>
          <cell r="B796" t="str">
            <v>901</v>
          </cell>
          <cell r="C796" t="str">
            <v>07</v>
          </cell>
          <cell r="D796" t="str">
            <v>02</v>
          </cell>
          <cell r="E796" t="str">
            <v>424 00 00</v>
          </cell>
          <cell r="F796" t="str">
            <v>327</v>
          </cell>
        </row>
        <row r="797">
          <cell r="A797" t="str">
            <v>Увеличение стоимости материальных запасов 8,40,08</v>
          </cell>
          <cell r="B797" t="str">
            <v>901</v>
          </cell>
          <cell r="C797" t="str">
            <v>07</v>
          </cell>
          <cell r="D797" t="str">
            <v>02</v>
          </cell>
          <cell r="E797" t="str">
            <v>424 00 00</v>
          </cell>
          <cell r="F797" t="str">
            <v>327</v>
          </cell>
        </row>
        <row r="798">
          <cell r="A798" t="str">
            <v>Увеличение стоимости материальных запасов 8,40,09</v>
          </cell>
          <cell r="B798" t="str">
            <v>901</v>
          </cell>
          <cell r="C798" t="str">
            <v>07</v>
          </cell>
          <cell r="D798" t="str">
            <v>02</v>
          </cell>
          <cell r="E798" t="str">
            <v>424 00 00</v>
          </cell>
          <cell r="F798" t="str">
            <v>327</v>
          </cell>
        </row>
        <row r="799">
          <cell r="A799" t="str">
            <v>Увеличение стоимости материальных запасов 8,40,10</v>
          </cell>
          <cell r="B799" t="str">
            <v>901</v>
          </cell>
          <cell r="C799" t="str">
            <v>07</v>
          </cell>
          <cell r="D799" t="str">
            <v>02</v>
          </cell>
          <cell r="E799" t="str">
            <v>424 00 00</v>
          </cell>
          <cell r="F799" t="str">
            <v>327</v>
          </cell>
        </row>
        <row r="800">
          <cell r="A800" t="str">
            <v>Увеличение стоимости материальных запасов 8,40,11</v>
          </cell>
          <cell r="B800" t="str">
            <v>901</v>
          </cell>
          <cell r="C800" t="str">
            <v>07</v>
          </cell>
          <cell r="D800" t="str">
            <v>02</v>
          </cell>
          <cell r="E800" t="str">
            <v>424 00 00</v>
          </cell>
          <cell r="F800" t="str">
            <v>327</v>
          </cell>
        </row>
        <row r="801">
          <cell r="A801" t="str">
            <v>Увеличение стоимости материальных запасов 8,40,12</v>
          </cell>
          <cell r="B801" t="str">
            <v>901</v>
          </cell>
          <cell r="C801" t="str">
            <v>07</v>
          </cell>
          <cell r="D801" t="str">
            <v>02</v>
          </cell>
          <cell r="E801" t="str">
            <v>424 00 00</v>
          </cell>
          <cell r="F801" t="str">
            <v>327</v>
          </cell>
        </row>
        <row r="802">
          <cell r="A802" t="str">
            <v>Увеличение стоимости материальных запасов 8,40,13</v>
          </cell>
          <cell r="B802" t="str">
            <v>901</v>
          </cell>
          <cell r="C802" t="str">
            <v>07</v>
          </cell>
          <cell r="D802" t="str">
            <v>02</v>
          </cell>
          <cell r="E802" t="str">
            <v>424 00 00</v>
          </cell>
          <cell r="F802" t="str">
            <v>327</v>
          </cell>
        </row>
        <row r="803">
          <cell r="A803" t="str">
            <v>Увеличение стоимости материальных запасов 8,40,14</v>
          </cell>
          <cell r="B803" t="str">
            <v>901</v>
          </cell>
          <cell r="C803" t="str">
            <v>07</v>
          </cell>
          <cell r="D803" t="str">
            <v>02</v>
          </cell>
          <cell r="E803" t="str">
            <v>424 00 00</v>
          </cell>
          <cell r="F803" t="str">
            <v>327</v>
          </cell>
        </row>
        <row r="804">
          <cell r="A804" t="str">
            <v>Увеличение стоимости материальных запасов 8,40,15</v>
          </cell>
          <cell r="B804" t="str">
            <v>901</v>
          </cell>
          <cell r="C804" t="str">
            <v>07</v>
          </cell>
          <cell r="D804" t="str">
            <v>02</v>
          </cell>
          <cell r="E804" t="str">
            <v>424 00 00</v>
          </cell>
          <cell r="F804" t="str">
            <v>327</v>
          </cell>
        </row>
        <row r="805">
          <cell r="A805" t="str">
            <v>Увеличение стоимости материальных запасов 8,40,16</v>
          </cell>
          <cell r="B805" t="str">
            <v>901</v>
          </cell>
          <cell r="C805" t="str">
            <v>07</v>
          </cell>
          <cell r="D805" t="str">
            <v>02</v>
          </cell>
          <cell r="E805" t="str">
            <v>424 00 00</v>
          </cell>
          <cell r="F805" t="str">
            <v>327</v>
          </cell>
        </row>
        <row r="806">
          <cell r="A806" t="str">
            <v>Увеличение стоимости материальных запасов 8,40,17</v>
          </cell>
          <cell r="B806" t="str">
            <v>901</v>
          </cell>
          <cell r="C806" t="str">
            <v>07</v>
          </cell>
          <cell r="D806" t="str">
            <v>02</v>
          </cell>
          <cell r="E806" t="str">
            <v>424 00 00</v>
          </cell>
          <cell r="F806" t="str">
            <v>327</v>
          </cell>
        </row>
        <row r="807">
          <cell r="A807" t="str">
            <v>Увеличение стоимости материальных запасов 8,40,18</v>
          </cell>
          <cell r="B807" t="str">
            <v>901</v>
          </cell>
          <cell r="C807" t="str">
            <v>07</v>
          </cell>
          <cell r="D807" t="str">
            <v>02</v>
          </cell>
          <cell r="E807" t="str">
            <v>424 00 00</v>
          </cell>
          <cell r="F807" t="str">
            <v>327</v>
          </cell>
        </row>
        <row r="808">
          <cell r="A808" t="str">
            <v>Увеличение стоимости материальных запасов 8,40,02</v>
          </cell>
          <cell r="B808" t="str">
            <v>905</v>
          </cell>
          <cell r="C808" t="str">
            <v>07</v>
          </cell>
          <cell r="D808" t="str">
            <v>02</v>
          </cell>
          <cell r="E808" t="str">
            <v>423 99 00</v>
          </cell>
          <cell r="F808" t="str">
            <v>001</v>
          </cell>
        </row>
        <row r="809">
          <cell r="A809" t="str">
            <v>Целевые программы муниципальных образований </v>
          </cell>
          <cell r="B809" t="str">
            <v>905</v>
          </cell>
          <cell r="C809" t="str">
            <v>07</v>
          </cell>
          <cell r="D809" t="str">
            <v>02</v>
          </cell>
          <cell r="E809" t="str">
            <v>795 00 00</v>
          </cell>
          <cell r="F809" t="str">
            <v>000</v>
          </cell>
        </row>
        <row r="810">
          <cell r="A810" t="str">
            <v>Выполнение функций органами местного самоуправления</v>
          </cell>
          <cell r="B810" t="str">
            <v>905</v>
          </cell>
          <cell r="C810" t="str">
            <v>07</v>
          </cell>
          <cell r="D810" t="str">
            <v>02</v>
          </cell>
          <cell r="E810" t="str">
            <v>795 00 00</v>
          </cell>
          <cell r="F810" t="str">
            <v>500</v>
          </cell>
        </row>
        <row r="811">
          <cell r="A811" t="str">
            <v>Расходы</v>
          </cell>
          <cell r="B811" t="str">
            <v>905</v>
          </cell>
          <cell r="C811" t="str">
            <v>07</v>
          </cell>
          <cell r="D811" t="str">
            <v>02</v>
          </cell>
          <cell r="E811" t="str">
            <v>795 00 00</v>
          </cell>
          <cell r="F811" t="str">
            <v>500</v>
          </cell>
        </row>
        <row r="812">
          <cell r="A812" t="str">
            <v>Приобретение услуг</v>
          </cell>
          <cell r="B812" t="str">
            <v>905</v>
          </cell>
          <cell r="C812" t="str">
            <v>07</v>
          </cell>
          <cell r="D812" t="str">
            <v>02</v>
          </cell>
          <cell r="E812" t="str">
            <v>795 00 00</v>
          </cell>
          <cell r="F812" t="str">
            <v>500</v>
          </cell>
        </row>
        <row r="813">
          <cell r="A813" t="str">
            <v>Услуги по содержанию иммущества</v>
          </cell>
          <cell r="B813" t="str">
            <v>905</v>
          </cell>
          <cell r="C813" t="str">
            <v>07</v>
          </cell>
          <cell r="D813" t="str">
            <v>02</v>
          </cell>
          <cell r="E813" t="str">
            <v>795 00 00</v>
          </cell>
          <cell r="F813" t="str">
            <v>500</v>
          </cell>
        </row>
        <row r="814">
          <cell r="A814" t="str">
            <v>Прочие услуги</v>
          </cell>
          <cell r="B814" t="str">
            <v>905</v>
          </cell>
          <cell r="C814" t="str">
            <v>07</v>
          </cell>
          <cell r="D814" t="str">
            <v>02</v>
          </cell>
          <cell r="E814" t="str">
            <v>795 18 00</v>
          </cell>
          <cell r="F814" t="str">
            <v>500</v>
          </cell>
        </row>
        <row r="815">
          <cell r="A815" t="str">
            <v>Поступление нефинансовых активов</v>
          </cell>
          <cell r="B815" t="str">
            <v>905</v>
          </cell>
          <cell r="C815" t="str">
            <v>07</v>
          </cell>
          <cell r="D815" t="str">
            <v>02</v>
          </cell>
          <cell r="E815" t="str">
            <v>795 00 00</v>
          </cell>
          <cell r="F815" t="str">
            <v>500</v>
          </cell>
        </row>
        <row r="816">
          <cell r="A816" t="str">
            <v>Увеличение стоимости материальных запасов</v>
          </cell>
          <cell r="B816" t="str">
            <v>905</v>
          </cell>
          <cell r="C816" t="str">
            <v>07</v>
          </cell>
          <cell r="D816" t="str">
            <v>02</v>
          </cell>
          <cell r="E816" t="str">
            <v>795 00 00</v>
          </cell>
          <cell r="F816" t="str">
            <v>500</v>
          </cell>
        </row>
        <row r="820">
          <cell r="A820" t="str">
            <v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</v>
          </cell>
          <cell r="C820" t="str">
            <v>07</v>
          </cell>
          <cell r="D820" t="str">
            <v>02</v>
          </cell>
          <cell r="E820" t="str">
            <v>589 00 00</v>
          </cell>
          <cell r="F820" t="str">
            <v>000</v>
          </cell>
        </row>
        <row r="821">
          <cell r="A821" t="str">
            <v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</v>
          </cell>
          <cell r="B821" t="str">
            <v>903</v>
          </cell>
          <cell r="C821" t="str">
            <v>07</v>
          </cell>
          <cell r="D821" t="str">
            <v>02</v>
          </cell>
          <cell r="E821" t="str">
            <v>589 00 00</v>
          </cell>
          <cell r="F821" t="str">
            <v>000</v>
          </cell>
        </row>
        <row r="822">
          <cell r="A822" t="str">
            <v>Выполнение функций бюджетными учреждениями</v>
          </cell>
          <cell r="B822" t="str">
            <v>903</v>
          </cell>
          <cell r="C822" t="str">
            <v>07</v>
          </cell>
          <cell r="D822" t="str">
            <v>02</v>
          </cell>
          <cell r="E822" t="str">
            <v>589 00 00</v>
          </cell>
          <cell r="F822" t="str">
            <v>001</v>
          </cell>
        </row>
        <row r="823">
          <cell r="A823" t="str">
            <v>Субсидии некоммерческим организациям</v>
          </cell>
          <cell r="B823" t="str">
            <v>903</v>
          </cell>
          <cell r="C823" t="str">
            <v>07</v>
          </cell>
          <cell r="D823" t="str">
            <v>02</v>
          </cell>
          <cell r="E823" t="str">
            <v>589 00 00</v>
          </cell>
          <cell r="F823" t="str">
            <v>019</v>
          </cell>
        </row>
        <row r="824">
          <cell r="A824" t="str">
            <v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</v>
          </cell>
          <cell r="B824" t="str">
            <v>905</v>
          </cell>
          <cell r="C824" t="str">
            <v>07</v>
          </cell>
          <cell r="D824" t="str">
            <v>02</v>
          </cell>
          <cell r="E824" t="str">
            <v>589 00 00</v>
          </cell>
          <cell r="F824" t="str">
            <v>000</v>
          </cell>
        </row>
        <row r="825">
          <cell r="A825" t="str">
            <v>Выполнение функций бюджетными учреждениями</v>
          </cell>
          <cell r="B825" t="str">
            <v>905</v>
          </cell>
          <cell r="C825" t="str">
            <v>07</v>
          </cell>
          <cell r="D825" t="str">
            <v>02</v>
          </cell>
          <cell r="E825" t="str">
            <v>589 00 00</v>
          </cell>
          <cell r="F825" t="str">
            <v>001</v>
          </cell>
        </row>
        <row r="826">
          <cell r="A826" t="str">
            <v>Субсидии некоммерческим организациям</v>
          </cell>
          <cell r="B826" t="str">
            <v>905</v>
          </cell>
          <cell r="C826" t="str">
            <v>07</v>
          </cell>
          <cell r="D826" t="str">
            <v>02</v>
          </cell>
          <cell r="E826" t="str">
            <v>589 00 00</v>
          </cell>
          <cell r="F826" t="str">
            <v>019</v>
          </cell>
        </row>
        <row r="827">
          <cell r="A827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827" t="str">
            <v>905</v>
          </cell>
          <cell r="C827" t="str">
            <v>07</v>
          </cell>
          <cell r="D827" t="str">
            <v>02</v>
          </cell>
          <cell r="E827" t="str">
            <v>590 00 00</v>
          </cell>
          <cell r="F827" t="str">
            <v>000</v>
          </cell>
        </row>
        <row r="828">
          <cell r="A828" t="str">
            <v>Субсидии некоммерческим организациям</v>
          </cell>
          <cell r="B828" t="str">
            <v>905</v>
          </cell>
          <cell r="C828" t="str">
            <v>07</v>
          </cell>
          <cell r="D828" t="str">
            <v>02</v>
          </cell>
          <cell r="E828" t="str">
            <v>590 00 00</v>
          </cell>
          <cell r="F828" t="str">
            <v>019</v>
          </cell>
        </row>
        <row r="829">
          <cell r="A829" t="str">
            <v>Иные безвозмездные и безвозвратные перечисления</v>
          </cell>
          <cell r="B829" t="str">
            <v>903</v>
          </cell>
          <cell r="C829" t="str">
            <v>07</v>
          </cell>
          <cell r="D829" t="str">
            <v>02</v>
          </cell>
          <cell r="E829" t="str">
            <v>520 00 00</v>
          </cell>
          <cell r="F829" t="str">
            <v>000</v>
          </cell>
        </row>
        <row r="830">
          <cell r="A830" t="str">
            <v>Ежемесячное денежное вознаграждение за классное руководство</v>
          </cell>
          <cell r="B830" t="str">
            <v>903</v>
          </cell>
          <cell r="C830" t="str">
            <v>07</v>
          </cell>
          <cell r="D830" t="str">
            <v>02</v>
          </cell>
          <cell r="E830" t="str">
            <v>520 09 00</v>
          </cell>
          <cell r="F830" t="str">
            <v>000</v>
          </cell>
        </row>
        <row r="831">
          <cell r="A831" t="str">
            <v>Выполнение функций бюджетными учреждениями</v>
          </cell>
          <cell r="B831" t="str">
            <v>903</v>
          </cell>
          <cell r="C831" t="str">
            <v>07</v>
          </cell>
          <cell r="D831" t="str">
            <v>02</v>
          </cell>
          <cell r="E831" t="str">
            <v>520 09 00</v>
          </cell>
          <cell r="F831" t="str">
            <v>001</v>
          </cell>
        </row>
        <row r="832">
          <cell r="A832" t="str">
            <v>Расходы</v>
          </cell>
          <cell r="B832" t="str">
            <v>903</v>
          </cell>
          <cell r="C832" t="str">
            <v>07</v>
          </cell>
          <cell r="D832" t="str">
            <v>02</v>
          </cell>
          <cell r="E832" t="str">
            <v>520 09 00</v>
          </cell>
          <cell r="F832" t="str">
            <v>001</v>
          </cell>
        </row>
        <row r="833">
          <cell r="A833" t="str">
            <v>Оплата труда и начисления на оплату труда</v>
          </cell>
          <cell r="B833" t="str">
            <v>903</v>
          </cell>
          <cell r="C833" t="str">
            <v>07</v>
          </cell>
          <cell r="D833" t="str">
            <v>02</v>
          </cell>
          <cell r="E833" t="str">
            <v>520 09 00</v>
          </cell>
          <cell r="F833" t="str">
            <v>001</v>
          </cell>
        </row>
        <row r="834">
          <cell r="A834" t="str">
            <v>Заработная плата</v>
          </cell>
          <cell r="B834" t="str">
            <v>903</v>
          </cell>
          <cell r="C834" t="str">
            <v>07</v>
          </cell>
          <cell r="D834" t="str">
            <v>02</v>
          </cell>
          <cell r="E834" t="str">
            <v>520 09 00</v>
          </cell>
          <cell r="F834" t="str">
            <v>001</v>
          </cell>
        </row>
        <row r="835">
          <cell r="A835" t="str">
            <v>Иные безвозмездные и безвозвратные перичесления </v>
          </cell>
          <cell r="B835" t="str">
            <v>903</v>
          </cell>
          <cell r="C835" t="str">
            <v>07</v>
          </cell>
          <cell r="D835" t="str">
            <v>02</v>
          </cell>
          <cell r="E835" t="str">
            <v>520 09 00</v>
          </cell>
          <cell r="F835" t="str">
            <v>000</v>
          </cell>
        </row>
        <row r="836">
          <cell r="A836" t="str">
            <v>Внедрение инновационных общеобразовательных программ в государственных и муниципальных организациях</v>
          </cell>
          <cell r="B836" t="str">
            <v>903</v>
          </cell>
          <cell r="C836" t="str">
            <v>07</v>
          </cell>
          <cell r="D836" t="str">
            <v>02</v>
          </cell>
          <cell r="E836" t="str">
            <v>520 09 00</v>
          </cell>
          <cell r="F836" t="str">
            <v>621</v>
          </cell>
        </row>
        <row r="837">
          <cell r="A837" t="str">
            <v>Безвозмездные и безвозвратные перечисления государственным и муниципальным организациям</v>
          </cell>
          <cell r="B837" t="str">
            <v>903</v>
          </cell>
          <cell r="C837" t="str">
            <v>07</v>
          </cell>
          <cell r="D837" t="str">
            <v>02</v>
          </cell>
          <cell r="E837" t="str">
            <v>520 09 00</v>
          </cell>
          <cell r="F837" t="str">
            <v>621</v>
          </cell>
        </row>
        <row r="838">
          <cell r="A838" t="str">
            <v>Субсидии некоммерческим организациям</v>
          </cell>
          <cell r="B838" t="str">
            <v>903</v>
          </cell>
          <cell r="C838" t="str">
            <v>07</v>
          </cell>
          <cell r="D838" t="str">
            <v>02</v>
          </cell>
          <cell r="E838" t="str">
            <v>520 09 00</v>
          </cell>
          <cell r="F838" t="str">
            <v>019</v>
          </cell>
        </row>
        <row r="839">
          <cell r="A839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839" t="str">
            <v>903</v>
          </cell>
          <cell r="C839" t="str">
            <v>07</v>
          </cell>
          <cell r="D839" t="str">
            <v>02</v>
          </cell>
          <cell r="E839" t="str">
            <v>590 00 00</v>
          </cell>
          <cell r="F839" t="str">
            <v>000</v>
          </cell>
        </row>
        <row r="840">
          <cell r="A840" t="str">
            <v>Выполнение функций бюджетными учреждениями</v>
          </cell>
          <cell r="B840" t="str">
            <v>903</v>
          </cell>
          <cell r="C840" t="str">
            <v>07</v>
          </cell>
          <cell r="D840" t="str">
            <v>02</v>
          </cell>
          <cell r="E840" t="str">
            <v>590 00 00</v>
          </cell>
          <cell r="F840" t="str">
            <v>001</v>
          </cell>
        </row>
        <row r="842">
          <cell r="A842" t="str">
            <v>Субсидии некоммерческим организациям</v>
          </cell>
          <cell r="B842" t="str">
            <v>903</v>
          </cell>
          <cell r="C842" t="str">
            <v>07</v>
          </cell>
          <cell r="D842" t="str">
            <v>02</v>
          </cell>
          <cell r="E842" t="str">
            <v>590 00 00</v>
          </cell>
          <cell r="F842" t="str">
            <v>019</v>
          </cell>
        </row>
        <row r="843">
          <cell r="A843" t="str">
            <v>Софинансирование ДЦП Иркутской области "Доступная среда для инвалидов" на 2011-2015 годы (Доп.ЭК 8.70.07.00)</v>
          </cell>
          <cell r="B843" t="str">
            <v>903</v>
          </cell>
          <cell r="C843" t="str">
            <v>07</v>
          </cell>
          <cell r="D843" t="str">
            <v>02</v>
          </cell>
          <cell r="E843" t="str">
            <v>421 99 00</v>
          </cell>
          <cell r="F843" t="str">
            <v>000</v>
          </cell>
        </row>
        <row r="844">
          <cell r="A844" t="str">
            <v>Выполнение функций органами местного самоуправления</v>
          </cell>
          <cell r="B844" t="str">
            <v>903</v>
          </cell>
          <cell r="C844" t="str">
            <v>07</v>
          </cell>
          <cell r="D844" t="str">
            <v>02</v>
          </cell>
          <cell r="E844" t="str">
            <v>421 99 00</v>
          </cell>
          <cell r="F844" t="str">
            <v>019</v>
          </cell>
        </row>
        <row r="845">
          <cell r="A845" t="str">
            <v>Молодежная политика и оздоровление детей</v>
          </cell>
          <cell r="C845" t="str">
            <v>07</v>
          </cell>
          <cell r="D845" t="str">
            <v>07</v>
          </cell>
          <cell r="E845" t="str">
            <v>000 00 00</v>
          </cell>
          <cell r="F845" t="str">
            <v>000</v>
          </cell>
        </row>
        <row r="846">
          <cell r="B846" t="str">
            <v>901</v>
          </cell>
          <cell r="C846" t="str">
            <v>07</v>
          </cell>
          <cell r="D846" t="str">
            <v>07</v>
          </cell>
          <cell r="E846" t="str">
            <v>001 00 00</v>
          </cell>
          <cell r="F846" t="str">
            <v>000</v>
          </cell>
        </row>
        <row r="847">
          <cell r="B847" t="str">
            <v>901</v>
          </cell>
          <cell r="C847" t="str">
            <v>07</v>
          </cell>
          <cell r="D847" t="str">
            <v>07</v>
          </cell>
          <cell r="E847" t="str">
            <v>001 00 00</v>
          </cell>
          <cell r="F847" t="str">
            <v>005</v>
          </cell>
        </row>
        <row r="848">
          <cell r="B848" t="str">
            <v>901</v>
          </cell>
          <cell r="C848" t="str">
            <v>07</v>
          </cell>
          <cell r="D848" t="str">
            <v>07</v>
          </cell>
          <cell r="E848" t="str">
            <v>001 00 00</v>
          </cell>
          <cell r="F848" t="str">
            <v>005</v>
          </cell>
        </row>
        <row r="849">
          <cell r="B849" t="str">
            <v>901</v>
          </cell>
          <cell r="C849" t="str">
            <v>07</v>
          </cell>
          <cell r="D849" t="str">
            <v>07</v>
          </cell>
          <cell r="E849" t="str">
            <v>001 00 00</v>
          </cell>
          <cell r="F849" t="str">
            <v>005</v>
          </cell>
        </row>
        <row r="850">
          <cell r="A850" t="str">
            <v>Прочие выплаты</v>
          </cell>
          <cell r="B850" t="str">
            <v>901</v>
          </cell>
          <cell r="C850" t="str">
            <v>07</v>
          </cell>
          <cell r="D850" t="str">
            <v>07</v>
          </cell>
          <cell r="E850" t="str">
            <v>001 00 00</v>
          </cell>
          <cell r="F850" t="str">
            <v>005</v>
          </cell>
        </row>
        <row r="851">
          <cell r="A851" t="str">
            <v>Начисление на оплату труда</v>
          </cell>
          <cell r="B851" t="str">
            <v>901</v>
          </cell>
          <cell r="C851" t="str">
            <v>07</v>
          </cell>
          <cell r="D851" t="str">
            <v>07</v>
          </cell>
          <cell r="E851" t="str">
            <v>001 00 00</v>
          </cell>
          <cell r="F851" t="str">
            <v>005</v>
          </cell>
        </row>
        <row r="852">
          <cell r="A852" t="str">
            <v>Приобретение услуг</v>
          </cell>
          <cell r="B852" t="str">
            <v>901</v>
          </cell>
          <cell r="C852" t="str">
            <v>07</v>
          </cell>
          <cell r="D852" t="str">
            <v>07</v>
          </cell>
          <cell r="E852" t="str">
            <v>001 00 00</v>
          </cell>
          <cell r="F852" t="str">
            <v>005</v>
          </cell>
        </row>
        <row r="853">
          <cell r="A853" t="str">
            <v>Услуги связи </v>
          </cell>
          <cell r="B853" t="str">
            <v>901</v>
          </cell>
          <cell r="C853" t="str">
            <v>07</v>
          </cell>
          <cell r="D853" t="str">
            <v>07</v>
          </cell>
          <cell r="E853" t="str">
            <v>001 00 00</v>
          </cell>
          <cell r="F853" t="str">
            <v>005</v>
          </cell>
        </row>
        <row r="854">
          <cell r="A854" t="str">
            <v>Транспортные услуги</v>
          </cell>
          <cell r="B854" t="str">
            <v>901</v>
          </cell>
          <cell r="C854" t="str">
            <v>07</v>
          </cell>
          <cell r="D854" t="str">
            <v>07</v>
          </cell>
          <cell r="E854" t="str">
            <v>001 00 00</v>
          </cell>
          <cell r="F854" t="str">
            <v>005</v>
          </cell>
        </row>
        <row r="855">
          <cell r="A855" t="str">
            <v>Коммунальные услуги</v>
          </cell>
          <cell r="B855" t="str">
            <v>901</v>
          </cell>
          <cell r="C855" t="str">
            <v>07</v>
          </cell>
          <cell r="D855" t="str">
            <v>07</v>
          </cell>
          <cell r="E855" t="str">
            <v>001 00 00</v>
          </cell>
          <cell r="F855" t="str">
            <v>005</v>
          </cell>
        </row>
        <row r="856">
          <cell r="A856" t="str">
            <v>Арендная плата за пользование иммуществом </v>
          </cell>
          <cell r="B856" t="str">
            <v>901</v>
          </cell>
          <cell r="C856" t="str">
            <v>07</v>
          </cell>
          <cell r="D856" t="str">
            <v>07</v>
          </cell>
          <cell r="E856" t="str">
            <v>001 00 00</v>
          </cell>
          <cell r="F856" t="str">
            <v>005</v>
          </cell>
        </row>
        <row r="857">
          <cell r="A857" t="str">
            <v>Услуги по содержанию иммущества</v>
          </cell>
          <cell r="B857" t="str">
            <v>901</v>
          </cell>
          <cell r="C857" t="str">
            <v>07</v>
          </cell>
          <cell r="D857" t="str">
            <v>07</v>
          </cell>
          <cell r="E857" t="str">
            <v>001 00 00</v>
          </cell>
          <cell r="F857" t="str">
            <v>005</v>
          </cell>
        </row>
        <row r="858">
          <cell r="A858" t="str">
            <v>Прочие услуги</v>
          </cell>
          <cell r="B858" t="str">
            <v>901</v>
          </cell>
          <cell r="C858" t="str">
            <v>07</v>
          </cell>
          <cell r="D858" t="str">
            <v>07</v>
          </cell>
          <cell r="E858" t="str">
            <v>001 00 00</v>
          </cell>
          <cell r="F858" t="str">
            <v>005</v>
          </cell>
        </row>
        <row r="859">
          <cell r="A859" t="str">
            <v>Прочие расходы </v>
          </cell>
          <cell r="B859" t="str">
            <v>901</v>
          </cell>
          <cell r="C859" t="str">
            <v>07</v>
          </cell>
          <cell r="D859" t="str">
            <v>07</v>
          </cell>
          <cell r="E859" t="str">
            <v>001 00 00</v>
          </cell>
          <cell r="F859" t="str">
            <v>005</v>
          </cell>
        </row>
        <row r="860">
          <cell r="A860" t="str">
            <v>Поступление нефинансовых активов</v>
          </cell>
          <cell r="B860" t="str">
            <v>901</v>
          </cell>
          <cell r="C860" t="str">
            <v>07</v>
          </cell>
          <cell r="D860" t="str">
            <v>07</v>
          </cell>
          <cell r="E860" t="str">
            <v>001 00 00</v>
          </cell>
          <cell r="F860" t="str">
            <v>005</v>
          </cell>
        </row>
        <row r="861">
          <cell r="A861" t="str">
            <v>Увеличение стоимости основных средств</v>
          </cell>
          <cell r="B861" t="str">
            <v>901</v>
          </cell>
          <cell r="C861" t="str">
            <v>07</v>
          </cell>
          <cell r="D861" t="str">
            <v>07</v>
          </cell>
          <cell r="E861" t="str">
            <v>001 00 00</v>
          </cell>
          <cell r="F861" t="str">
            <v>005</v>
          </cell>
        </row>
        <row r="862">
          <cell r="A862" t="str">
            <v>Увеличение стоимости материальных запасов</v>
          </cell>
          <cell r="B862" t="str">
            <v>901</v>
          </cell>
          <cell r="C862" t="str">
            <v>07</v>
          </cell>
          <cell r="D862" t="str">
            <v>07</v>
          </cell>
          <cell r="E862" t="str">
            <v>001 00 00</v>
          </cell>
          <cell r="F862" t="str">
            <v>005</v>
          </cell>
        </row>
        <row r="863">
          <cell r="A863" t="str">
            <v>Организационно-воспитательная работа с молодежью</v>
          </cell>
          <cell r="B863" t="str">
            <v>905</v>
          </cell>
          <cell r="C863" t="str">
            <v>07</v>
          </cell>
          <cell r="D863" t="str">
            <v>07</v>
          </cell>
          <cell r="E863" t="str">
            <v>431 00 00</v>
          </cell>
          <cell r="F863" t="str">
            <v>000 </v>
          </cell>
        </row>
        <row r="864">
          <cell r="A864" t="str">
            <v>Организационно-воспитательная работа с молодежью</v>
          </cell>
          <cell r="B864" t="str">
            <v>905</v>
          </cell>
          <cell r="C864" t="str">
            <v>07</v>
          </cell>
          <cell r="D864" t="str">
            <v>07</v>
          </cell>
          <cell r="E864" t="str">
            <v>431 00 00</v>
          </cell>
          <cell r="F864" t="str">
            <v>000 </v>
          </cell>
        </row>
        <row r="865">
          <cell r="A865" t="str">
            <v>Проведение мероприятий для детей и молодежи</v>
          </cell>
          <cell r="B865" t="str">
            <v>905</v>
          </cell>
          <cell r="C865" t="str">
            <v>07</v>
          </cell>
          <cell r="D865" t="str">
            <v>07</v>
          </cell>
          <cell r="E865" t="str">
            <v>431 01 00</v>
          </cell>
          <cell r="F865" t="str">
            <v>000</v>
          </cell>
        </row>
        <row r="866">
          <cell r="A866" t="str">
            <v>Выполнение функций органами местного самоуправления</v>
          </cell>
          <cell r="B866" t="str">
            <v>905</v>
          </cell>
          <cell r="C866" t="str">
            <v>07</v>
          </cell>
          <cell r="D866" t="str">
            <v>07</v>
          </cell>
          <cell r="E866" t="str">
            <v>431 01 00</v>
          </cell>
          <cell r="F866" t="str">
            <v>500</v>
          </cell>
        </row>
        <row r="867">
          <cell r="A867" t="str">
            <v>Долгосрочная целевая программа Иркутской области «Организация и обеспечение отдыха и оздоровления детей в Иркутской области на 2012-2014 годы»</v>
          </cell>
          <cell r="B867" t="str">
            <v>903</v>
          </cell>
          <cell r="C867" t="str">
            <v>07</v>
          </cell>
          <cell r="D867" t="str">
            <v>07</v>
          </cell>
          <cell r="E867" t="str">
            <v>522 62 00</v>
          </cell>
          <cell r="F867" t="str">
            <v>000</v>
          </cell>
        </row>
        <row r="868">
          <cell r="A868" t="str">
            <v>Выполнение функций бюджетными учреждениями ОБ</v>
          </cell>
          <cell r="B868" t="str">
            <v>903</v>
          </cell>
          <cell r="C868" t="str">
            <v>07</v>
          </cell>
          <cell r="D868" t="str">
            <v>07</v>
          </cell>
          <cell r="E868" t="str">
            <v>522 62 00</v>
          </cell>
          <cell r="F868" t="str">
            <v>001</v>
          </cell>
        </row>
        <row r="869">
          <cell r="A869" t="str">
            <v>Выполнение функций бюджетными учреждениями МБ</v>
          </cell>
          <cell r="B869" t="str">
            <v>903</v>
          </cell>
          <cell r="C869" t="str">
            <v>07</v>
          </cell>
          <cell r="D869" t="str">
            <v>07</v>
          </cell>
          <cell r="E869" t="str">
            <v>522 62 01</v>
          </cell>
          <cell r="F869" t="str">
            <v>001</v>
          </cell>
        </row>
        <row r="870">
          <cell r="A870" t="str">
            <v>Субсидии некоммерческим организациям ОБ</v>
          </cell>
          <cell r="B870" t="str">
            <v>903</v>
          </cell>
          <cell r="C870" t="str">
            <v>07</v>
          </cell>
          <cell r="D870" t="str">
            <v>07</v>
          </cell>
          <cell r="E870" t="str">
            <v>522 62 00</v>
          </cell>
          <cell r="F870" t="str">
            <v>019</v>
          </cell>
        </row>
        <row r="871">
          <cell r="A871" t="str">
            <v>Субсидии некоммерческим организациям МБ</v>
          </cell>
          <cell r="B871" t="str">
            <v>903</v>
          </cell>
          <cell r="C871" t="str">
            <v>07</v>
          </cell>
          <cell r="D871" t="str">
            <v>07</v>
          </cell>
          <cell r="E871" t="str">
            <v>522 62 01</v>
          </cell>
          <cell r="F871" t="str">
            <v>019</v>
          </cell>
        </row>
        <row r="872">
          <cell r="A872" t="str">
            <v>Транспортные услуги</v>
          </cell>
          <cell r="B872" t="str">
            <v>905</v>
          </cell>
          <cell r="C872" t="str">
            <v>07</v>
          </cell>
          <cell r="D872" t="str">
            <v>07</v>
          </cell>
          <cell r="E872" t="str">
            <v>431 01 00</v>
          </cell>
          <cell r="F872" t="str">
            <v>500</v>
          </cell>
        </row>
        <row r="873">
          <cell r="A873" t="str">
            <v>Прочие услуги</v>
          </cell>
          <cell r="B873" t="str">
            <v>905</v>
          </cell>
          <cell r="C873" t="str">
            <v>07</v>
          </cell>
          <cell r="D873" t="str">
            <v>07</v>
          </cell>
          <cell r="E873" t="str">
            <v>431 01 00</v>
          </cell>
          <cell r="F873" t="str">
            <v>500</v>
          </cell>
        </row>
        <row r="874">
          <cell r="A874" t="str">
            <v>Прочие расходы </v>
          </cell>
          <cell r="B874" t="str">
            <v>905</v>
          </cell>
          <cell r="C874" t="str">
            <v>07</v>
          </cell>
          <cell r="D874" t="str">
            <v>07</v>
          </cell>
          <cell r="E874" t="str">
            <v>431 01 00</v>
          </cell>
          <cell r="F874" t="str">
            <v>500</v>
          </cell>
        </row>
        <row r="875">
          <cell r="A875" t="str">
            <v>Поступление нефинансовых активов</v>
          </cell>
          <cell r="B875" t="str">
            <v>905</v>
          </cell>
          <cell r="C875" t="str">
            <v>07</v>
          </cell>
          <cell r="D875" t="str">
            <v>07</v>
          </cell>
          <cell r="E875" t="str">
            <v>431 01 00</v>
          </cell>
          <cell r="F875" t="str">
            <v>500</v>
          </cell>
        </row>
        <row r="876">
          <cell r="A876" t="str">
            <v>Увеличение стоимости основных средств</v>
          </cell>
          <cell r="B876" t="str">
            <v>905</v>
          </cell>
          <cell r="C876" t="str">
            <v>07</v>
          </cell>
          <cell r="D876" t="str">
            <v>07</v>
          </cell>
          <cell r="E876" t="str">
            <v>431 01 00</v>
          </cell>
          <cell r="F876" t="str">
            <v>500</v>
          </cell>
        </row>
        <row r="877">
          <cell r="A877" t="str">
            <v>Увеличение стоимости материальных запасов </v>
          </cell>
          <cell r="B877" t="str">
            <v>905</v>
          </cell>
          <cell r="C877" t="str">
            <v>07</v>
          </cell>
          <cell r="D877" t="str">
            <v>07</v>
          </cell>
          <cell r="E877" t="str">
            <v>431 01 00</v>
          </cell>
          <cell r="F877" t="str">
            <v>500</v>
          </cell>
        </row>
        <row r="878">
          <cell r="A878" t="str">
            <v>Мероприятия по проведению оздоровительной кампании детей </v>
          </cell>
          <cell r="B878" t="str">
            <v>903</v>
          </cell>
          <cell r="C878" t="str">
            <v>07</v>
          </cell>
          <cell r="D878" t="str">
            <v>07</v>
          </cell>
          <cell r="E878" t="str">
            <v>432 00 00</v>
          </cell>
          <cell r="F878" t="str">
            <v>000</v>
          </cell>
        </row>
        <row r="879">
          <cell r="A879" t="str">
            <v>Оздоровление детей </v>
          </cell>
          <cell r="B879" t="str">
            <v>903</v>
          </cell>
          <cell r="C879" t="str">
            <v>07</v>
          </cell>
          <cell r="D879" t="str">
            <v>07</v>
          </cell>
          <cell r="E879" t="str">
            <v>432 00 00</v>
          </cell>
          <cell r="F879" t="str">
            <v>000</v>
          </cell>
        </row>
        <row r="880">
          <cell r="A880" t="str">
            <v>Выполнение функций бюджетными учреждениями</v>
          </cell>
          <cell r="B880" t="str">
            <v>903</v>
          </cell>
          <cell r="C880" t="str">
            <v>07</v>
          </cell>
          <cell r="D880" t="str">
            <v>07</v>
          </cell>
          <cell r="E880" t="str">
            <v>432 03 00</v>
          </cell>
          <cell r="F880" t="str">
            <v>001</v>
          </cell>
        </row>
        <row r="881">
          <cell r="A881" t="str">
            <v>Поступление нефинансовых активов</v>
          </cell>
          <cell r="B881" t="str">
            <v>903</v>
          </cell>
          <cell r="C881" t="str">
            <v>07</v>
          </cell>
          <cell r="D881" t="str">
            <v>07</v>
          </cell>
          <cell r="E881" t="str">
            <v>432 03 00</v>
          </cell>
          <cell r="F881" t="str">
            <v>001</v>
          </cell>
        </row>
        <row r="882">
          <cell r="A882" t="str">
            <v>Увеличение стоимости материальных запасов  ОБ</v>
          </cell>
          <cell r="B882" t="str">
            <v>903</v>
          </cell>
          <cell r="C882" t="str">
            <v>07</v>
          </cell>
          <cell r="D882" t="str">
            <v>07</v>
          </cell>
          <cell r="E882" t="str">
            <v>432 03 01</v>
          </cell>
          <cell r="F882" t="str">
            <v>001</v>
          </cell>
        </row>
        <row r="883">
          <cell r="A883" t="str">
            <v>Увеличение стоимости материальных запасов МБ</v>
          </cell>
          <cell r="B883" t="str">
            <v>903</v>
          </cell>
          <cell r="C883" t="str">
            <v>07</v>
          </cell>
          <cell r="D883" t="str">
            <v>07</v>
          </cell>
          <cell r="E883" t="str">
            <v>432 03 02</v>
          </cell>
          <cell r="F883" t="str">
            <v>500</v>
          </cell>
        </row>
        <row r="884">
          <cell r="A884" t="str">
            <v>Целевые программы муниципальных образований </v>
          </cell>
          <cell r="C884" t="str">
            <v>07</v>
          </cell>
          <cell r="D884" t="str">
            <v>07</v>
          </cell>
          <cell r="E884" t="str">
            <v>795 00 00</v>
          </cell>
          <cell r="F884" t="str">
            <v>000</v>
          </cell>
        </row>
        <row r="885">
          <cell r="A885" t="str">
            <v>Круглогодичный отдых ,оздоровление и занятость детей и подростков  в 2012 г</v>
          </cell>
          <cell r="C885" t="str">
            <v>07</v>
          </cell>
          <cell r="D885" t="str">
            <v>07</v>
          </cell>
          <cell r="E885" t="str">
            <v>795 04 00</v>
          </cell>
          <cell r="F885" t="str">
            <v>000</v>
          </cell>
        </row>
        <row r="886">
          <cell r="A886" t="str">
            <v>Выполнение функций органами местного самоуправления</v>
          </cell>
          <cell r="B886" t="str">
            <v>903</v>
          </cell>
          <cell r="C886" t="str">
            <v>07</v>
          </cell>
          <cell r="D886" t="str">
            <v>07</v>
          </cell>
          <cell r="E886" t="str">
            <v>795 04 00</v>
          </cell>
          <cell r="F886" t="str">
            <v>500</v>
          </cell>
        </row>
        <row r="887">
          <cell r="A887" t="str">
            <v>Выполнение функций органами местного самоуправления</v>
          </cell>
          <cell r="B887" t="str">
            <v>905</v>
          </cell>
          <cell r="C887" t="str">
            <v>07</v>
          </cell>
          <cell r="D887" t="str">
            <v>07</v>
          </cell>
          <cell r="E887" t="str">
            <v>795 04 00</v>
          </cell>
          <cell r="F887" t="str">
            <v>500</v>
          </cell>
        </row>
        <row r="888">
          <cell r="A888" t="str">
            <v>Выполнение функций органами местного самоуправления</v>
          </cell>
          <cell r="B888" t="str">
            <v>904</v>
          </cell>
          <cell r="C888" t="str">
            <v>07</v>
          </cell>
          <cell r="D888" t="str">
            <v>07</v>
          </cell>
          <cell r="E888" t="str">
            <v>795 04 00</v>
          </cell>
          <cell r="F888" t="str">
            <v>500</v>
          </cell>
        </row>
        <row r="889">
          <cell r="A889" t="str">
            <v>Выполнение функций органами местного самоуправления</v>
          </cell>
          <cell r="B889" t="str">
            <v>902</v>
          </cell>
          <cell r="C889" t="str">
            <v>07</v>
          </cell>
          <cell r="D889" t="str">
            <v>07</v>
          </cell>
          <cell r="E889" t="str">
            <v>795 04 00</v>
          </cell>
          <cell r="F889" t="str">
            <v>500</v>
          </cell>
        </row>
        <row r="890">
          <cell r="A890" t="str">
            <v>"Будущее за молодыми на  2011-2013 г"</v>
          </cell>
          <cell r="B890" t="str">
            <v>905</v>
          </cell>
          <cell r="C890" t="str">
            <v>07</v>
          </cell>
          <cell r="D890" t="str">
            <v>07</v>
          </cell>
          <cell r="E890" t="str">
            <v>795 19 00</v>
          </cell>
          <cell r="F890" t="str">
            <v>000</v>
          </cell>
        </row>
        <row r="891">
          <cell r="A891" t="str">
            <v>Транспортные услуги</v>
          </cell>
          <cell r="B891" t="str">
            <v>903</v>
          </cell>
          <cell r="C891" t="str">
            <v>07</v>
          </cell>
          <cell r="D891" t="str">
            <v>07</v>
          </cell>
          <cell r="E891" t="str">
            <v>795 00 00</v>
          </cell>
          <cell r="F891" t="str">
            <v>500</v>
          </cell>
        </row>
        <row r="892">
          <cell r="A892" t="str">
            <v>Транспортные услуги</v>
          </cell>
          <cell r="B892" t="str">
            <v>903</v>
          </cell>
          <cell r="C892" t="str">
            <v>07</v>
          </cell>
          <cell r="D892" t="str">
            <v>07</v>
          </cell>
          <cell r="E892" t="str">
            <v>795 00 00</v>
          </cell>
          <cell r="F892" t="str">
            <v>500</v>
          </cell>
        </row>
        <row r="893">
          <cell r="B893" t="str">
            <v>905</v>
          </cell>
          <cell r="C893" t="str">
            <v>07</v>
          </cell>
          <cell r="D893" t="str">
            <v>07</v>
          </cell>
          <cell r="E893" t="str">
            <v>795 19 00</v>
          </cell>
          <cell r="F893" t="str">
            <v>500</v>
          </cell>
        </row>
        <row r="894">
          <cell r="B894" t="str">
            <v>905</v>
          </cell>
          <cell r="C894" t="str">
            <v>07</v>
          </cell>
          <cell r="D894" t="str">
            <v>07</v>
          </cell>
          <cell r="E894" t="str">
            <v>795 04 00</v>
          </cell>
          <cell r="F894" t="str">
            <v>500</v>
          </cell>
        </row>
        <row r="895">
          <cell r="A895" t="str">
            <v>Услуги по содержанию иммущества</v>
          </cell>
          <cell r="B895" t="str">
            <v>903</v>
          </cell>
          <cell r="C895" t="str">
            <v>07</v>
          </cell>
          <cell r="D895" t="str">
            <v>07</v>
          </cell>
          <cell r="E895" t="str">
            <v>795 04 00</v>
          </cell>
          <cell r="F895" t="str">
            <v>500</v>
          </cell>
        </row>
        <row r="896">
          <cell r="A896" t="str">
            <v>Прочие услуги</v>
          </cell>
          <cell r="B896" t="str">
            <v>903</v>
          </cell>
          <cell r="C896" t="str">
            <v>07</v>
          </cell>
          <cell r="D896" t="str">
            <v>07</v>
          </cell>
          <cell r="E896" t="str">
            <v>795 00 00</v>
          </cell>
          <cell r="F896" t="str">
            <v>500</v>
          </cell>
        </row>
        <row r="897">
          <cell r="A897" t="str">
            <v>Транспортные услуги</v>
          </cell>
          <cell r="B897" t="str">
            <v>905</v>
          </cell>
          <cell r="C897" t="str">
            <v>07</v>
          </cell>
          <cell r="D897" t="str">
            <v>07</v>
          </cell>
          <cell r="E897" t="str">
            <v>795 00 00</v>
          </cell>
          <cell r="F897" t="str">
            <v>500</v>
          </cell>
        </row>
        <row r="898">
          <cell r="A898" t="str">
            <v>Услуги по содержанию иммущества</v>
          </cell>
          <cell r="B898" t="str">
            <v>903</v>
          </cell>
          <cell r="C898" t="str">
            <v>07</v>
          </cell>
          <cell r="D898" t="str">
            <v>07</v>
          </cell>
          <cell r="E898" t="str">
            <v>795 00 00</v>
          </cell>
          <cell r="F898" t="str">
            <v>500</v>
          </cell>
        </row>
        <row r="899">
          <cell r="A899" t="str">
            <v>Прочие услуги</v>
          </cell>
          <cell r="B899" t="str">
            <v>905</v>
          </cell>
          <cell r="C899" t="str">
            <v>07</v>
          </cell>
          <cell r="D899" t="str">
            <v>07</v>
          </cell>
          <cell r="E899" t="str">
            <v>795 04 00</v>
          </cell>
          <cell r="F899" t="str">
            <v>500</v>
          </cell>
        </row>
        <row r="900">
          <cell r="A900" t="str">
            <v>Прочие услуги</v>
          </cell>
          <cell r="B900" t="str">
            <v>906</v>
          </cell>
          <cell r="C900" t="str">
            <v>07</v>
          </cell>
          <cell r="D900" t="str">
            <v>07</v>
          </cell>
          <cell r="E900" t="str">
            <v>795 00 00</v>
          </cell>
          <cell r="F900" t="str">
            <v>500</v>
          </cell>
        </row>
        <row r="901">
          <cell r="A901" t="str">
            <v>Прочие услуги</v>
          </cell>
          <cell r="B901" t="str">
            <v>907</v>
          </cell>
          <cell r="C901" t="str">
            <v>07</v>
          </cell>
          <cell r="D901" t="str">
            <v>07</v>
          </cell>
          <cell r="E901" t="str">
            <v>795 00 00</v>
          </cell>
          <cell r="F901" t="str">
            <v>500</v>
          </cell>
        </row>
        <row r="902">
          <cell r="A902" t="str">
            <v>Прочие расходы </v>
          </cell>
          <cell r="B902" t="str">
            <v>908</v>
          </cell>
          <cell r="C902" t="str">
            <v>07</v>
          </cell>
          <cell r="D902" t="str">
            <v>07</v>
          </cell>
          <cell r="E902" t="str">
            <v>795 00 00</v>
          </cell>
          <cell r="F902" t="str">
            <v>500</v>
          </cell>
        </row>
        <row r="903">
          <cell r="A903" t="str">
            <v>Прочие услуги</v>
          </cell>
          <cell r="B903" t="str">
            <v>903</v>
          </cell>
          <cell r="C903" t="str">
            <v>07</v>
          </cell>
          <cell r="D903" t="str">
            <v>07</v>
          </cell>
          <cell r="E903" t="str">
            <v>795 04 00</v>
          </cell>
          <cell r="F903" t="str">
            <v>500</v>
          </cell>
        </row>
        <row r="904">
          <cell r="A904" t="str">
            <v>Прочие услуги "Круглогодичный отдых"</v>
          </cell>
          <cell r="B904" t="str">
            <v>902</v>
          </cell>
          <cell r="C904" t="str">
            <v>07</v>
          </cell>
          <cell r="D904" t="str">
            <v>07</v>
          </cell>
          <cell r="E904" t="str">
            <v>795 04 00</v>
          </cell>
          <cell r="F904" t="str">
            <v>500</v>
          </cell>
        </row>
        <row r="905">
          <cell r="A905" t="str">
            <v>Прочие услуги "Круглогодичный отдых"</v>
          </cell>
          <cell r="B905" t="str">
            <v>904</v>
          </cell>
          <cell r="C905" t="str">
            <v>07</v>
          </cell>
          <cell r="D905" t="str">
            <v>07</v>
          </cell>
          <cell r="E905" t="str">
            <v>795 04 00</v>
          </cell>
          <cell r="F905" t="str">
            <v>500</v>
          </cell>
        </row>
        <row r="906">
          <cell r="A906" t="str">
            <v>Прочие расходы </v>
          </cell>
          <cell r="B906" t="str">
            <v>905</v>
          </cell>
          <cell r="C906" t="str">
            <v>07</v>
          </cell>
          <cell r="D906" t="str">
            <v>07</v>
          </cell>
          <cell r="E906" t="str">
            <v>795 00 00</v>
          </cell>
          <cell r="F906" t="str">
            <v>500</v>
          </cell>
        </row>
        <row r="907">
          <cell r="B907" t="str">
            <v>905</v>
          </cell>
          <cell r="C907" t="str">
            <v>07</v>
          </cell>
          <cell r="D907" t="str">
            <v>07</v>
          </cell>
          <cell r="E907" t="str">
            <v>795 19 00</v>
          </cell>
          <cell r="F907" t="str">
            <v>500</v>
          </cell>
        </row>
        <row r="908">
          <cell r="B908" t="str">
            <v>905</v>
          </cell>
          <cell r="C908" t="str">
            <v>07</v>
          </cell>
          <cell r="D908" t="str">
            <v>07</v>
          </cell>
          <cell r="E908" t="str">
            <v>795 04 00</v>
          </cell>
          <cell r="F908" t="str">
            <v>500</v>
          </cell>
        </row>
        <row r="909">
          <cell r="B909" t="str">
            <v>903</v>
          </cell>
          <cell r="C909" t="str">
            <v>07</v>
          </cell>
          <cell r="D909" t="str">
            <v>07</v>
          </cell>
          <cell r="E909" t="str">
            <v>795 04 00</v>
          </cell>
          <cell r="F909" t="str">
            <v>500</v>
          </cell>
        </row>
        <row r="910">
          <cell r="A910" t="str">
            <v>Поступление нефинансовых активов</v>
          </cell>
          <cell r="C910" t="str">
            <v>07</v>
          </cell>
          <cell r="D910" t="str">
            <v>07</v>
          </cell>
          <cell r="E910" t="str">
            <v>795 00 00</v>
          </cell>
          <cell r="F910" t="str">
            <v>500</v>
          </cell>
        </row>
        <row r="911">
          <cell r="A911" t="str">
            <v>Увеличение стоимости основных средств</v>
          </cell>
          <cell r="B911" t="str">
            <v>910</v>
          </cell>
          <cell r="C911" t="str">
            <v>07</v>
          </cell>
          <cell r="D911" t="str">
            <v>07</v>
          </cell>
          <cell r="E911" t="str">
            <v>795 00 00</v>
          </cell>
          <cell r="F911" t="str">
            <v>500</v>
          </cell>
        </row>
        <row r="912">
          <cell r="A912" t="str">
            <v>Увеличение стоимости материальных запасов</v>
          </cell>
          <cell r="B912" t="str">
            <v>911</v>
          </cell>
          <cell r="C912" t="str">
            <v>07</v>
          </cell>
          <cell r="D912" t="str">
            <v>07</v>
          </cell>
          <cell r="E912" t="str">
            <v>795 00 00</v>
          </cell>
          <cell r="F912" t="str">
            <v>500</v>
          </cell>
        </row>
        <row r="913">
          <cell r="A913" t="str">
            <v>Увеличение стоимости материальных запасов</v>
          </cell>
          <cell r="B913" t="str">
            <v>912</v>
          </cell>
          <cell r="C913" t="str">
            <v>07</v>
          </cell>
          <cell r="D913" t="str">
            <v>07</v>
          </cell>
          <cell r="E913" t="str">
            <v>795 00 00</v>
          </cell>
          <cell r="F913" t="str">
            <v>500</v>
          </cell>
        </row>
        <row r="914">
          <cell r="A914" t="str">
            <v>Увеличение стоймости основных средств</v>
          </cell>
          <cell r="B914" t="str">
            <v>905</v>
          </cell>
          <cell r="C914" t="str">
            <v>07</v>
          </cell>
          <cell r="D914" t="str">
            <v>07</v>
          </cell>
          <cell r="E914" t="str">
            <v>795 00 00</v>
          </cell>
          <cell r="F914" t="str">
            <v>500</v>
          </cell>
        </row>
        <row r="915">
          <cell r="B915" t="str">
            <v>905</v>
          </cell>
          <cell r="C915" t="str">
            <v>07</v>
          </cell>
          <cell r="D915" t="str">
            <v>07</v>
          </cell>
          <cell r="E915" t="str">
            <v>795 19 00</v>
          </cell>
          <cell r="F915" t="str">
            <v>500</v>
          </cell>
        </row>
        <row r="916">
          <cell r="A916" t="str">
            <v>Увеличение стоимости основных средств</v>
          </cell>
          <cell r="B916" t="str">
            <v>903</v>
          </cell>
          <cell r="C916" t="str">
            <v>07</v>
          </cell>
          <cell r="D916" t="str">
            <v>07</v>
          </cell>
          <cell r="E916" t="str">
            <v>795 04 00</v>
          </cell>
          <cell r="F916" t="str">
            <v>500</v>
          </cell>
        </row>
        <row r="917">
          <cell r="A917" t="str">
            <v>Увеличение стоимости материальных запасов</v>
          </cell>
          <cell r="B917" t="str">
            <v>903</v>
          </cell>
          <cell r="C917" t="str">
            <v>07</v>
          </cell>
          <cell r="D917" t="str">
            <v>07</v>
          </cell>
          <cell r="E917" t="str">
            <v>795 00 00</v>
          </cell>
          <cell r="F917" t="str">
            <v>500</v>
          </cell>
        </row>
        <row r="918">
          <cell r="B918" t="str">
            <v>905</v>
          </cell>
          <cell r="C918" t="str">
            <v>07</v>
          </cell>
          <cell r="D918" t="str">
            <v>07</v>
          </cell>
          <cell r="E918" t="str">
            <v>795 19 00</v>
          </cell>
          <cell r="F918" t="str">
            <v>500</v>
          </cell>
        </row>
        <row r="919">
          <cell r="B919" t="str">
            <v>905</v>
          </cell>
          <cell r="C919" t="str">
            <v>07</v>
          </cell>
          <cell r="D919" t="str">
            <v>07</v>
          </cell>
          <cell r="E919" t="str">
            <v>795 04 00</v>
          </cell>
          <cell r="F919" t="str">
            <v>500</v>
          </cell>
        </row>
        <row r="920">
          <cell r="A920" t="str">
            <v>Увеличение стоимости материальных запасов</v>
          </cell>
          <cell r="B920" t="str">
            <v>903</v>
          </cell>
          <cell r="C920" t="str">
            <v>07</v>
          </cell>
          <cell r="D920" t="str">
            <v>07</v>
          </cell>
          <cell r="E920" t="str">
            <v>795 04 00</v>
          </cell>
          <cell r="F920" t="str">
            <v>500</v>
          </cell>
        </row>
        <row r="921">
          <cell r="A921" t="str">
            <v>Увеличение стоимости материальных запасов</v>
          </cell>
          <cell r="B921" t="str">
            <v>905</v>
          </cell>
          <cell r="C921" t="str">
            <v>07</v>
          </cell>
          <cell r="D921" t="str">
            <v>07</v>
          </cell>
          <cell r="E921" t="str">
            <v>795 00 00</v>
          </cell>
          <cell r="F921" t="str">
            <v>500</v>
          </cell>
        </row>
        <row r="922">
          <cell r="B922" t="str">
            <v>905</v>
          </cell>
          <cell r="C922" t="str">
            <v>07</v>
          </cell>
          <cell r="D922" t="str">
            <v>07</v>
          </cell>
          <cell r="E922" t="str">
            <v>795 19 00</v>
          </cell>
          <cell r="F922" t="str">
            <v>500</v>
          </cell>
        </row>
        <row r="923">
          <cell r="A923" t="str">
            <v>Выполнение функций органами местного самоуправления</v>
          </cell>
          <cell r="B923" t="str">
            <v>905</v>
          </cell>
          <cell r="C923" t="str">
            <v>07</v>
          </cell>
          <cell r="D923" t="str">
            <v>07</v>
          </cell>
          <cell r="E923" t="str">
            <v>795 19 00</v>
          </cell>
          <cell r="F923" t="str">
            <v>500</v>
          </cell>
        </row>
        <row r="924">
          <cell r="A924" t="str">
            <v>Другие вопросы в области образования</v>
          </cell>
          <cell r="B924" t="str">
            <v>903</v>
          </cell>
          <cell r="C924" t="str">
            <v>07</v>
          </cell>
          <cell r="D924" t="str">
            <v>09</v>
          </cell>
          <cell r="E924" t="str">
            <v>000 00 00</v>
          </cell>
          <cell r="F924" t="str">
            <v>000</v>
          </cell>
        </row>
        <row r="925">
          <cell r="A925" t="str">
            <v>Руководство и управление в сфере установленных функций органов государственной власти субъектов РФ и органов местного самоуправления</v>
          </cell>
          <cell r="B925" t="str">
            <v>903</v>
          </cell>
          <cell r="C925" t="str">
            <v>07</v>
          </cell>
          <cell r="D925" t="str">
            <v>09</v>
          </cell>
          <cell r="E925" t="str">
            <v>002 00 00</v>
          </cell>
          <cell r="F925" t="str">
            <v>000</v>
          </cell>
        </row>
        <row r="926">
          <cell r="A926" t="str">
            <v>Центральный аппарат</v>
          </cell>
          <cell r="B926" t="str">
            <v>903</v>
          </cell>
          <cell r="C926" t="str">
            <v>07</v>
          </cell>
          <cell r="D926" t="str">
            <v>09</v>
          </cell>
          <cell r="E926" t="str">
            <v>002 04 00</v>
          </cell>
          <cell r="F926" t="str">
            <v>000</v>
          </cell>
        </row>
        <row r="927">
          <cell r="A927" t="str">
            <v>Выполнение функций органами местного самоуправления</v>
          </cell>
          <cell r="B927" t="str">
            <v>903</v>
          </cell>
          <cell r="C927" t="str">
            <v>07</v>
          </cell>
          <cell r="D927" t="str">
            <v>09</v>
          </cell>
          <cell r="E927" t="str">
            <v>002 04 00</v>
          </cell>
          <cell r="F927" t="str">
            <v>500</v>
          </cell>
        </row>
        <row r="928">
          <cell r="A928" t="str">
            <v>Расходы</v>
          </cell>
          <cell r="B928" t="str">
            <v>903</v>
          </cell>
          <cell r="C928" t="str">
            <v>07</v>
          </cell>
          <cell r="D928" t="str">
            <v>09</v>
          </cell>
          <cell r="E928" t="str">
            <v>002 04 00</v>
          </cell>
          <cell r="F928" t="str">
            <v>500</v>
          </cell>
        </row>
        <row r="929">
          <cell r="A929" t="str">
            <v>Оплата труда и начисления на оплату труда</v>
          </cell>
          <cell r="B929" t="str">
            <v>903</v>
          </cell>
          <cell r="C929" t="str">
            <v>07</v>
          </cell>
          <cell r="D929" t="str">
            <v>09</v>
          </cell>
          <cell r="E929" t="str">
            <v>002 04 00</v>
          </cell>
          <cell r="F929" t="str">
            <v>500</v>
          </cell>
        </row>
        <row r="930">
          <cell r="A930" t="str">
            <v>Заработная плата</v>
          </cell>
          <cell r="B930" t="str">
            <v>903</v>
          </cell>
          <cell r="C930" t="str">
            <v>07</v>
          </cell>
          <cell r="D930" t="str">
            <v>09</v>
          </cell>
          <cell r="E930" t="str">
            <v>002 04 00</v>
          </cell>
          <cell r="F930" t="str">
            <v>500</v>
          </cell>
        </row>
        <row r="931">
          <cell r="A931" t="str">
            <v>Прочие выплаты</v>
          </cell>
          <cell r="B931" t="str">
            <v>903</v>
          </cell>
          <cell r="C931" t="str">
            <v>07</v>
          </cell>
          <cell r="D931" t="str">
            <v>09</v>
          </cell>
          <cell r="E931" t="str">
            <v>002 04 00</v>
          </cell>
          <cell r="F931" t="str">
            <v>500</v>
          </cell>
        </row>
        <row r="932">
          <cell r="A932" t="str">
            <v>Начисление на оплату труда</v>
          </cell>
          <cell r="B932" t="str">
            <v>903</v>
          </cell>
          <cell r="C932" t="str">
            <v>07</v>
          </cell>
          <cell r="D932" t="str">
            <v>09</v>
          </cell>
          <cell r="E932" t="str">
            <v>002 04 00</v>
          </cell>
          <cell r="F932" t="str">
            <v>500</v>
          </cell>
        </row>
        <row r="933">
          <cell r="A933" t="str">
            <v>Приобретение услуг</v>
          </cell>
          <cell r="B933" t="str">
            <v>903</v>
          </cell>
          <cell r="C933" t="str">
            <v>07</v>
          </cell>
          <cell r="D933" t="str">
            <v>09</v>
          </cell>
          <cell r="E933" t="str">
            <v>002 04 00</v>
          </cell>
          <cell r="F933" t="str">
            <v>500</v>
          </cell>
        </row>
        <row r="934">
          <cell r="A934" t="str">
            <v>Услуги связи </v>
          </cell>
          <cell r="B934" t="str">
            <v>903</v>
          </cell>
          <cell r="C934" t="str">
            <v>07</v>
          </cell>
          <cell r="D934" t="str">
            <v>09</v>
          </cell>
          <cell r="E934" t="str">
            <v>002 04 00</v>
          </cell>
          <cell r="F934" t="str">
            <v>500</v>
          </cell>
        </row>
        <row r="935">
          <cell r="A935" t="str">
            <v>Транспортные услуги</v>
          </cell>
          <cell r="B935" t="str">
            <v>903</v>
          </cell>
          <cell r="C935" t="str">
            <v>07</v>
          </cell>
          <cell r="D935" t="str">
            <v>09</v>
          </cell>
          <cell r="E935" t="str">
            <v>002 04 00</v>
          </cell>
          <cell r="F935" t="str">
            <v>500</v>
          </cell>
        </row>
        <row r="936">
          <cell r="A936" t="str">
            <v>Коммунальные услуги</v>
          </cell>
          <cell r="B936" t="str">
            <v>903</v>
          </cell>
          <cell r="C936" t="str">
            <v>07</v>
          </cell>
          <cell r="D936" t="str">
            <v>09</v>
          </cell>
          <cell r="E936" t="str">
            <v>002 04 00</v>
          </cell>
          <cell r="F936" t="str">
            <v>500</v>
          </cell>
        </row>
        <row r="937">
          <cell r="A937" t="str">
            <v>Арендная плата за пользование иммуществом </v>
          </cell>
          <cell r="B937" t="str">
            <v>903</v>
          </cell>
          <cell r="C937" t="str">
            <v>07</v>
          </cell>
          <cell r="D937" t="str">
            <v>09</v>
          </cell>
          <cell r="E937" t="str">
            <v>002 04 00</v>
          </cell>
          <cell r="F937" t="str">
            <v>500</v>
          </cell>
        </row>
        <row r="938">
          <cell r="A938" t="str">
            <v>Услуги по содержанию иммущества</v>
          </cell>
          <cell r="B938" t="str">
            <v>903</v>
          </cell>
          <cell r="C938" t="str">
            <v>07</v>
          </cell>
          <cell r="D938" t="str">
            <v>09</v>
          </cell>
          <cell r="E938" t="str">
            <v>002 04 00</v>
          </cell>
          <cell r="F938" t="str">
            <v>500</v>
          </cell>
        </row>
        <row r="939">
          <cell r="A939" t="str">
            <v>Прочие услуги</v>
          </cell>
          <cell r="B939" t="str">
            <v>903</v>
          </cell>
          <cell r="C939" t="str">
            <v>07</v>
          </cell>
          <cell r="D939" t="str">
            <v>09</v>
          </cell>
          <cell r="E939" t="str">
            <v>002 04 00</v>
          </cell>
          <cell r="F939" t="str">
            <v>500</v>
          </cell>
        </row>
        <row r="940">
          <cell r="A940" t="str">
            <v>Прочие расходы </v>
          </cell>
          <cell r="B940" t="str">
            <v>903</v>
          </cell>
          <cell r="C940" t="str">
            <v>07</v>
          </cell>
          <cell r="D940" t="str">
            <v>09</v>
          </cell>
          <cell r="E940" t="str">
            <v>002 04 00</v>
          </cell>
          <cell r="F940" t="str">
            <v>500</v>
          </cell>
        </row>
        <row r="941">
          <cell r="A941" t="str">
            <v>Поступление нефинансовых активов</v>
          </cell>
          <cell r="B941" t="str">
            <v>903</v>
          </cell>
          <cell r="C941" t="str">
            <v>07</v>
          </cell>
          <cell r="D941" t="str">
            <v>09</v>
          </cell>
          <cell r="E941" t="str">
            <v>002 04 00</v>
          </cell>
          <cell r="F941" t="str">
            <v>500</v>
          </cell>
        </row>
        <row r="942">
          <cell r="A942" t="str">
            <v>Увеличение стоимости основных средств</v>
          </cell>
          <cell r="B942" t="str">
            <v>903</v>
          </cell>
          <cell r="C942" t="str">
            <v>07</v>
          </cell>
          <cell r="D942" t="str">
            <v>09</v>
          </cell>
          <cell r="E942" t="str">
            <v>002 04 00</v>
          </cell>
          <cell r="F942" t="str">
            <v>500</v>
          </cell>
        </row>
        <row r="943">
          <cell r="A943" t="str">
            <v>Увеличение стоимости материальных запасов</v>
          </cell>
          <cell r="B943" t="str">
            <v>903</v>
          </cell>
          <cell r="C943" t="str">
            <v>07</v>
          </cell>
          <cell r="D943" t="str">
            <v>09</v>
          </cell>
          <cell r="E943" t="str">
            <v>002 04 00</v>
          </cell>
          <cell r="F943" t="str">
            <v>500</v>
          </cell>
        </row>
        <row r="944">
          <cell r="A944" t="str">
            <v>Оплата труда и начисления на оплату труда</v>
          </cell>
          <cell r="B944" t="str">
            <v>901</v>
          </cell>
          <cell r="C944" t="str">
            <v>07</v>
          </cell>
          <cell r="D944" t="str">
            <v>09</v>
          </cell>
          <cell r="E944" t="str">
            <v>001 00 00</v>
          </cell>
          <cell r="F944" t="str">
            <v>005</v>
          </cell>
        </row>
        <row r="945">
          <cell r="A945" t="str">
            <v>Заработная плата</v>
          </cell>
          <cell r="B945" t="str">
            <v>901</v>
          </cell>
          <cell r="C945" t="str">
            <v>07</v>
          </cell>
          <cell r="D945" t="str">
            <v>09</v>
          </cell>
          <cell r="E945" t="str">
            <v>001 00 00</v>
          </cell>
          <cell r="F945" t="str">
            <v>005</v>
          </cell>
        </row>
        <row r="946">
          <cell r="A946" t="str">
            <v>Прочие выплаты</v>
          </cell>
          <cell r="B946" t="str">
            <v>901</v>
          </cell>
          <cell r="C946" t="str">
            <v>07</v>
          </cell>
          <cell r="D946" t="str">
            <v>09</v>
          </cell>
          <cell r="E946" t="str">
            <v>001 00 00</v>
          </cell>
          <cell r="F946" t="str">
            <v>005</v>
          </cell>
        </row>
        <row r="947">
          <cell r="A947" t="str">
            <v>Начисление на оплату труда</v>
          </cell>
          <cell r="B947" t="str">
            <v>901</v>
          </cell>
          <cell r="C947" t="str">
            <v>07</v>
          </cell>
          <cell r="D947" t="str">
            <v>09</v>
          </cell>
          <cell r="E947" t="str">
            <v>001 00 00</v>
          </cell>
          <cell r="F947" t="str">
            <v>005</v>
          </cell>
        </row>
        <row r="948">
          <cell r="A948" t="str">
            <v>Приобретение услуг</v>
          </cell>
          <cell r="B948" t="str">
            <v>901</v>
          </cell>
          <cell r="C948" t="str">
            <v>07</v>
          </cell>
          <cell r="D948" t="str">
            <v>09</v>
          </cell>
          <cell r="E948" t="str">
            <v>001 00 00</v>
          </cell>
          <cell r="F948" t="str">
            <v>005</v>
          </cell>
        </row>
        <row r="949">
          <cell r="A949" t="str">
            <v>Услуги связи </v>
          </cell>
          <cell r="B949" t="str">
            <v>901</v>
          </cell>
          <cell r="C949" t="str">
            <v>07</v>
          </cell>
          <cell r="D949" t="str">
            <v>09</v>
          </cell>
          <cell r="E949" t="str">
            <v>001 00 00</v>
          </cell>
          <cell r="F949" t="str">
            <v>005</v>
          </cell>
        </row>
        <row r="950">
          <cell r="A950" t="str">
            <v>Транспортные услуги</v>
          </cell>
          <cell r="B950" t="str">
            <v>901</v>
          </cell>
          <cell r="C950" t="str">
            <v>07</v>
          </cell>
          <cell r="D950" t="str">
            <v>09</v>
          </cell>
          <cell r="E950" t="str">
            <v>001 00 00</v>
          </cell>
          <cell r="F950" t="str">
            <v>005</v>
          </cell>
        </row>
        <row r="951">
          <cell r="A951" t="str">
            <v>Коммунальные услуги</v>
          </cell>
          <cell r="B951" t="str">
            <v>901</v>
          </cell>
          <cell r="C951" t="str">
            <v>07</v>
          </cell>
          <cell r="D951" t="str">
            <v>09</v>
          </cell>
          <cell r="E951" t="str">
            <v>001 00 00</v>
          </cell>
          <cell r="F951" t="str">
            <v>005</v>
          </cell>
        </row>
        <row r="952">
          <cell r="A952" t="str">
            <v>Арендная плата за пользование иммуществом </v>
          </cell>
          <cell r="B952" t="str">
            <v>901</v>
          </cell>
          <cell r="C952" t="str">
            <v>07</v>
          </cell>
          <cell r="D952" t="str">
            <v>09</v>
          </cell>
          <cell r="E952" t="str">
            <v>001 00 00</v>
          </cell>
          <cell r="F952" t="str">
            <v>005</v>
          </cell>
        </row>
        <row r="953">
          <cell r="A953" t="str">
            <v>Услуги по содержанию иммущества</v>
          </cell>
          <cell r="B953" t="str">
            <v>901</v>
          </cell>
          <cell r="C953" t="str">
            <v>07</v>
          </cell>
          <cell r="D953" t="str">
            <v>09</v>
          </cell>
          <cell r="E953" t="str">
            <v>001 00 00</v>
          </cell>
          <cell r="F953" t="str">
            <v>005</v>
          </cell>
        </row>
        <row r="954">
          <cell r="A954" t="str">
            <v>Прочие услуги</v>
          </cell>
          <cell r="B954" t="str">
            <v>901</v>
          </cell>
          <cell r="C954" t="str">
            <v>07</v>
          </cell>
          <cell r="D954" t="str">
            <v>09</v>
          </cell>
          <cell r="E954" t="str">
            <v>001 00 00</v>
          </cell>
          <cell r="F954" t="str">
            <v>005</v>
          </cell>
        </row>
        <row r="955">
          <cell r="A955" t="str">
            <v>Прочие расходы </v>
          </cell>
          <cell r="B955" t="str">
            <v>901</v>
          </cell>
          <cell r="C955" t="str">
            <v>07</v>
          </cell>
          <cell r="D955" t="str">
            <v>09</v>
          </cell>
          <cell r="E955" t="str">
            <v>001 00 00</v>
          </cell>
          <cell r="F955" t="str">
            <v>005</v>
          </cell>
        </row>
        <row r="956">
          <cell r="A956" t="str">
            <v>Поступление нефинансовых активов</v>
          </cell>
          <cell r="B956" t="str">
            <v>901</v>
          </cell>
          <cell r="C956" t="str">
            <v>07</v>
          </cell>
          <cell r="D956" t="str">
            <v>09</v>
          </cell>
          <cell r="E956" t="str">
            <v>001 00 00</v>
          </cell>
          <cell r="F956" t="str">
            <v>005</v>
          </cell>
        </row>
        <row r="957">
          <cell r="A957" t="str">
            <v>Увеличение стоимости основных средств</v>
          </cell>
          <cell r="B957" t="str">
            <v>901</v>
          </cell>
          <cell r="C957" t="str">
            <v>07</v>
          </cell>
          <cell r="D957" t="str">
            <v>09</v>
          </cell>
          <cell r="E957" t="str">
            <v>001 00 00</v>
          </cell>
          <cell r="F957" t="str">
            <v>005</v>
          </cell>
        </row>
        <row r="958">
          <cell r="A958" t="str">
            <v>Увеличение стоимости материальных запасов</v>
          </cell>
          <cell r="B958" t="str">
            <v>901</v>
          </cell>
          <cell r="C958" t="str">
            <v>07</v>
          </cell>
          <cell r="D958" t="str">
            <v>09</v>
          </cell>
          <cell r="E958" t="str">
            <v>001 00 00</v>
          </cell>
          <cell r="F958" t="str">
            <v>005</v>
          </cell>
        </row>
        <row r="959">
          <cell r="A959" t="str">
            <v>Межбюджетные трансферты на погашение кредиторской задолженности муниципальных учреждений по страховым взносам в Пенсионный фонд Российской Федерации на обязательное пенсионное страхование, сложившейся за период с 1 января 2001 года до 1 января 2010 года</v>
          </cell>
          <cell r="B959" t="str">
            <v>903</v>
          </cell>
          <cell r="C959" t="str">
            <v>07</v>
          </cell>
          <cell r="D959" t="str">
            <v>09</v>
          </cell>
          <cell r="E959" t="str">
            <v>603 00 00</v>
          </cell>
          <cell r="F959" t="str">
            <v>001</v>
          </cell>
        </row>
        <row r="960">
          <cell r="B960" t="str">
            <v>903</v>
          </cell>
          <cell r="C960" t="str">
            <v>07</v>
          </cell>
          <cell r="D960" t="str">
            <v>09</v>
          </cell>
          <cell r="E960" t="str">
            <v>603 00 00</v>
          </cell>
          <cell r="F960" t="str">
            <v>001</v>
          </cell>
        </row>
        <row r="961">
          <cell r="B961" t="str">
            <v>903</v>
          </cell>
          <cell r="C961" t="str">
            <v>07</v>
          </cell>
          <cell r="D961" t="str">
            <v>09</v>
          </cell>
          <cell r="E961" t="str">
            <v>603 00 00</v>
          </cell>
          <cell r="F961" t="str">
            <v>001</v>
          </cell>
        </row>
        <row r="962">
          <cell r="A962" t="str">
            <v>Выполнение функций органами местного самоуправления</v>
          </cell>
          <cell r="B962" t="str">
            <v>903</v>
          </cell>
          <cell r="C962" t="str">
            <v>07</v>
          </cell>
          <cell r="D962" t="str">
            <v>09</v>
          </cell>
          <cell r="E962" t="str">
            <v>603 00 00</v>
          </cell>
          <cell r="F962" t="str">
            <v>001</v>
          </cell>
        </row>
        <row r="963">
          <cell r="A963" t="str">
            <v>Расходы</v>
          </cell>
          <cell r="B963" t="str">
            <v>903</v>
          </cell>
          <cell r="C963" t="str">
            <v>07</v>
          </cell>
          <cell r="D963" t="str">
            <v>09</v>
          </cell>
          <cell r="E963" t="str">
            <v>603 00 00</v>
          </cell>
          <cell r="F963" t="str">
            <v>001</v>
          </cell>
        </row>
        <row r="964">
          <cell r="A964" t="str">
            <v>Оплата труда и начисления на оплату труда</v>
          </cell>
          <cell r="B964" t="str">
            <v>903</v>
          </cell>
          <cell r="C964" t="str">
            <v>07</v>
          </cell>
          <cell r="D964" t="str">
            <v>09</v>
          </cell>
          <cell r="E964" t="str">
            <v>603 00 00</v>
          </cell>
          <cell r="F964" t="str">
            <v>001</v>
          </cell>
        </row>
        <row r="965">
          <cell r="A965" t="str">
            <v>Начисление на оплату труда</v>
          </cell>
          <cell r="B965" t="str">
            <v>903</v>
          </cell>
          <cell r="C965" t="str">
            <v>07</v>
          </cell>
          <cell r="D965" t="str">
            <v>09</v>
          </cell>
          <cell r="E965" t="str">
            <v>603 00 00</v>
          </cell>
          <cell r="F965" t="str">
            <v>001</v>
          </cell>
        </row>
        <row r="966">
          <cell r="A966" t="str">
            <v>Мероприятия в области образования </v>
          </cell>
          <cell r="B966" t="str">
            <v>903</v>
          </cell>
          <cell r="C966" t="str">
            <v>07</v>
          </cell>
          <cell r="D966" t="str">
            <v>09</v>
          </cell>
          <cell r="E966" t="str">
            <v>436 00 00</v>
          </cell>
          <cell r="F966" t="str">
            <v>000</v>
          </cell>
        </row>
        <row r="967">
          <cell r="A967" t="str">
            <v>Проведение мероприятий для детей и молодежи</v>
          </cell>
          <cell r="B967" t="str">
            <v>903</v>
          </cell>
          <cell r="C967" t="str">
            <v>07</v>
          </cell>
          <cell r="D967" t="str">
            <v>09</v>
          </cell>
          <cell r="E967" t="str">
            <v>436 09 00</v>
          </cell>
          <cell r="F967" t="str">
            <v>000</v>
          </cell>
        </row>
        <row r="968">
          <cell r="A968" t="str">
            <v>Выполнение функций органами местного самоуправления</v>
          </cell>
          <cell r="B968" t="str">
            <v>903</v>
          </cell>
          <cell r="C968" t="str">
            <v>07</v>
          </cell>
          <cell r="D968" t="str">
            <v>09</v>
          </cell>
          <cell r="E968" t="str">
            <v>436 09 00</v>
          </cell>
          <cell r="F968" t="str">
            <v>500</v>
          </cell>
        </row>
        <row r="969">
          <cell r="A969" t="str">
            <v>Расходы</v>
          </cell>
          <cell r="B969" t="str">
            <v>903</v>
          </cell>
          <cell r="C969" t="str">
            <v>07</v>
          </cell>
          <cell r="D969" t="str">
            <v>09</v>
          </cell>
          <cell r="E969" t="str">
            <v>436 09 00</v>
          </cell>
          <cell r="F969" t="str">
            <v>500</v>
          </cell>
        </row>
        <row r="970">
          <cell r="A970" t="str">
            <v>Приобретение услуг</v>
          </cell>
          <cell r="B970" t="str">
            <v>903</v>
          </cell>
          <cell r="C970" t="str">
            <v>07</v>
          </cell>
          <cell r="D970" t="str">
            <v>09</v>
          </cell>
          <cell r="E970" t="str">
            <v>436 09 00</v>
          </cell>
          <cell r="F970" t="str">
            <v>500</v>
          </cell>
        </row>
        <row r="971">
          <cell r="A971" t="str">
            <v>Транспортные услуги</v>
          </cell>
          <cell r="B971" t="str">
            <v>903</v>
          </cell>
          <cell r="C971" t="str">
            <v>07</v>
          </cell>
          <cell r="D971" t="str">
            <v>09</v>
          </cell>
          <cell r="E971" t="str">
            <v>436 09 00</v>
          </cell>
          <cell r="F971" t="str">
            <v>500</v>
          </cell>
        </row>
        <row r="972">
          <cell r="A972" t="str">
            <v>Прочие услуги </v>
          </cell>
          <cell r="B972" t="str">
            <v>903</v>
          </cell>
          <cell r="C972" t="str">
            <v>07</v>
          </cell>
          <cell r="D972" t="str">
            <v>09</v>
          </cell>
          <cell r="E972" t="str">
            <v>436 09 00</v>
          </cell>
          <cell r="F972" t="str">
            <v>500</v>
          </cell>
        </row>
        <row r="973">
          <cell r="A973" t="str">
            <v>Прочие расходы </v>
          </cell>
          <cell r="B973" t="str">
            <v>903</v>
          </cell>
          <cell r="C973" t="str">
            <v>07</v>
          </cell>
          <cell r="D973" t="str">
            <v>09</v>
          </cell>
          <cell r="E973" t="str">
            <v>436 09 00</v>
          </cell>
          <cell r="F973" t="str">
            <v>500</v>
          </cell>
        </row>
        <row r="974">
          <cell r="A974" t="str">
            <v>Поступление нефинансовых активов</v>
          </cell>
          <cell r="B974" t="str">
            <v>903</v>
          </cell>
          <cell r="C974" t="str">
            <v>07</v>
          </cell>
          <cell r="D974" t="str">
            <v>09</v>
          </cell>
          <cell r="E974" t="str">
            <v>436 09 00</v>
          </cell>
          <cell r="F974" t="str">
            <v>500</v>
          </cell>
        </row>
        <row r="975">
          <cell r="A975" t="str">
            <v>Увеличение стоимости основных средств</v>
          </cell>
          <cell r="B975" t="str">
            <v>903</v>
          </cell>
          <cell r="C975" t="str">
            <v>07</v>
          </cell>
          <cell r="D975" t="str">
            <v>09</v>
          </cell>
          <cell r="E975" t="str">
            <v>436 09 00</v>
          </cell>
          <cell r="F975" t="str">
            <v>500</v>
          </cell>
        </row>
        <row r="976">
          <cell r="A976" t="str">
            <v>Увеличение стоимости материальных запасов </v>
          </cell>
          <cell r="B976" t="str">
            <v>903</v>
          </cell>
          <cell r="C976" t="str">
            <v>07</v>
          </cell>
          <cell r="D976" t="str">
            <v>09</v>
          </cell>
          <cell r="E976" t="str">
            <v>436 09 00</v>
          </cell>
          <cell r="F976" t="str">
            <v>500</v>
          </cell>
        </row>
        <row r="977">
          <cell r="A977" t="str">
            <v>Внедрение инновационных образовательных программ </v>
          </cell>
          <cell r="B977" t="str">
            <v>903</v>
          </cell>
          <cell r="C977" t="str">
            <v>07</v>
          </cell>
          <cell r="D977" t="str">
            <v>09</v>
          </cell>
          <cell r="E977" t="str">
            <v>4360200</v>
          </cell>
          <cell r="F977" t="str">
            <v>000</v>
          </cell>
        </row>
        <row r="978">
          <cell r="A978" t="str">
            <v>Выполнение функций бюджетными учреждениями</v>
          </cell>
          <cell r="B978" t="str">
            <v>903</v>
          </cell>
          <cell r="C978" t="str">
            <v>07</v>
          </cell>
          <cell r="D978" t="str">
            <v>09</v>
          </cell>
          <cell r="E978" t="str">
            <v>4360200</v>
          </cell>
          <cell r="F978" t="str">
            <v>001</v>
          </cell>
        </row>
        <row r="979">
          <cell r="A979" t="str">
            <v>РАСХОДЫ</v>
          </cell>
          <cell r="B979">
            <v>903</v>
          </cell>
          <cell r="C979" t="str">
            <v>07</v>
          </cell>
          <cell r="D979" t="str">
            <v>09</v>
          </cell>
          <cell r="E979" t="str">
            <v>4360200</v>
          </cell>
          <cell r="F979" t="str">
            <v>001</v>
          </cell>
        </row>
        <row r="980">
          <cell r="A980" t="str">
            <v>ПОСТУПЛЕНИЕ НЕФИНАНСОВЫХ АКТИВОВ</v>
          </cell>
          <cell r="B980">
            <v>903</v>
          </cell>
          <cell r="C980" t="str">
            <v>07</v>
          </cell>
          <cell r="D980" t="str">
            <v>09</v>
          </cell>
          <cell r="E980" t="str">
            <v>4360200</v>
          </cell>
          <cell r="F980" t="str">
            <v>001</v>
          </cell>
        </row>
        <row r="981">
          <cell r="A981" t="str">
            <v>Увеличение стоимости основных средств</v>
          </cell>
          <cell r="B981">
            <v>903</v>
          </cell>
          <cell r="C981" t="str">
            <v>07</v>
          </cell>
          <cell r="D981" t="str">
            <v>09</v>
          </cell>
          <cell r="E981" t="str">
            <v>4360200</v>
          </cell>
          <cell r="F981" t="str">
            <v>001</v>
          </cell>
        </row>
        <row r="982">
          <cell r="A982" t="str">
    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    </cell>
          <cell r="B982" t="str">
            <v>903</v>
          </cell>
          <cell r="C982" t="str">
            <v>07</v>
          </cell>
          <cell r="D982" t="str">
            <v>09</v>
          </cell>
          <cell r="E982" t="str">
            <v>452 00 00</v>
          </cell>
          <cell r="F982" t="str">
            <v>000</v>
          </cell>
        </row>
        <row r="983">
          <cell r="A983" t="str">
            <v>Обеспечение деятельности подведомственных учреждений</v>
          </cell>
          <cell r="B983" t="str">
            <v>903</v>
          </cell>
          <cell r="C983" t="str">
            <v>07</v>
          </cell>
          <cell r="D983" t="str">
            <v>09</v>
          </cell>
          <cell r="E983" t="str">
            <v>452 99 00</v>
          </cell>
          <cell r="F983" t="str">
            <v>000</v>
          </cell>
        </row>
        <row r="984">
          <cell r="A984" t="str">
            <v>Выполнение функций бюджетными учреждениями</v>
          </cell>
          <cell r="B984" t="str">
            <v>903</v>
          </cell>
          <cell r="C984" t="str">
            <v>07</v>
          </cell>
          <cell r="D984" t="str">
            <v>09</v>
          </cell>
          <cell r="E984" t="str">
            <v>452 99 00</v>
          </cell>
          <cell r="F984" t="str">
            <v>001</v>
          </cell>
        </row>
        <row r="985">
          <cell r="A985" t="str">
            <v>Расходы</v>
          </cell>
          <cell r="B985" t="str">
            <v>903</v>
          </cell>
          <cell r="C985" t="str">
            <v>07</v>
          </cell>
          <cell r="D985" t="str">
            <v>09</v>
          </cell>
          <cell r="E985" t="str">
            <v>452 99 00</v>
          </cell>
          <cell r="F985" t="str">
            <v>001</v>
          </cell>
        </row>
        <row r="986">
          <cell r="A986" t="str">
            <v>Оплата труда и начисления на оплату труда</v>
          </cell>
          <cell r="B986" t="str">
            <v>903</v>
          </cell>
          <cell r="C986" t="str">
            <v>07</v>
          </cell>
          <cell r="D986" t="str">
            <v>09</v>
          </cell>
          <cell r="E986" t="str">
            <v>452 99 00</v>
          </cell>
          <cell r="F986" t="str">
            <v>001</v>
          </cell>
        </row>
        <row r="987">
          <cell r="A987" t="str">
            <v>Заработная плата</v>
          </cell>
          <cell r="B987" t="str">
            <v>903</v>
          </cell>
          <cell r="C987" t="str">
            <v>07</v>
          </cell>
          <cell r="D987" t="str">
            <v>09</v>
          </cell>
          <cell r="E987" t="str">
            <v>452 99 00</v>
          </cell>
          <cell r="F987" t="str">
            <v>001</v>
          </cell>
        </row>
        <row r="988">
          <cell r="A988" t="str">
            <v>Прочие выплаты</v>
          </cell>
          <cell r="B988" t="str">
            <v>903</v>
          </cell>
          <cell r="C988" t="str">
            <v>07</v>
          </cell>
          <cell r="D988" t="str">
            <v>09</v>
          </cell>
          <cell r="E988" t="str">
            <v>452 99 00</v>
          </cell>
          <cell r="F988" t="str">
            <v>001</v>
          </cell>
        </row>
        <row r="989">
          <cell r="A989" t="str">
            <v>Начисление на оплату труда</v>
          </cell>
          <cell r="B989" t="str">
            <v>903</v>
          </cell>
          <cell r="C989" t="str">
            <v>07</v>
          </cell>
          <cell r="D989" t="str">
            <v>09</v>
          </cell>
          <cell r="E989" t="str">
            <v>452 99 00</v>
          </cell>
          <cell r="F989" t="str">
            <v>001</v>
          </cell>
        </row>
        <row r="990">
          <cell r="A990" t="str">
            <v>Приобретение услуг</v>
          </cell>
          <cell r="B990" t="str">
            <v>903</v>
          </cell>
          <cell r="C990" t="str">
            <v>07</v>
          </cell>
          <cell r="D990" t="str">
            <v>09</v>
          </cell>
          <cell r="E990" t="str">
            <v>452 99 00</v>
          </cell>
          <cell r="F990" t="str">
            <v>001</v>
          </cell>
        </row>
        <row r="991">
          <cell r="A991" t="str">
            <v>Услуги связи </v>
          </cell>
          <cell r="B991" t="str">
            <v>903</v>
          </cell>
          <cell r="C991" t="str">
            <v>07</v>
          </cell>
          <cell r="D991" t="str">
            <v>09</v>
          </cell>
          <cell r="E991" t="str">
            <v>452 99 00</v>
          </cell>
          <cell r="F991" t="str">
            <v>001</v>
          </cell>
        </row>
        <row r="992">
          <cell r="A992" t="str">
            <v>Транспортные услуги</v>
          </cell>
          <cell r="B992" t="str">
            <v>903</v>
          </cell>
          <cell r="C992" t="str">
            <v>07</v>
          </cell>
          <cell r="D992" t="str">
            <v>09</v>
          </cell>
          <cell r="E992" t="str">
            <v>452 99 00</v>
          </cell>
          <cell r="F992" t="str">
            <v>001</v>
          </cell>
        </row>
        <row r="993">
          <cell r="A993" t="str">
            <v>Коммунальные услуги</v>
          </cell>
          <cell r="B993" t="str">
            <v>903</v>
          </cell>
          <cell r="C993" t="str">
            <v>07</v>
          </cell>
          <cell r="D993" t="str">
            <v>09</v>
          </cell>
          <cell r="E993" t="str">
            <v>452 99 00</v>
          </cell>
          <cell r="F993" t="str">
            <v>001</v>
          </cell>
        </row>
        <row r="994">
          <cell r="A994" t="str">
            <v>Арендная плата за пользование иммуществом </v>
          </cell>
          <cell r="B994" t="str">
            <v>903</v>
          </cell>
          <cell r="C994" t="str">
            <v>07</v>
          </cell>
          <cell r="D994" t="str">
            <v>09</v>
          </cell>
          <cell r="E994" t="str">
            <v>452 99 00</v>
          </cell>
          <cell r="F994" t="str">
            <v>001</v>
          </cell>
        </row>
        <row r="995">
          <cell r="A995" t="str">
            <v>Услуги по содержанию иммущества</v>
          </cell>
          <cell r="B995" t="str">
            <v>903</v>
          </cell>
          <cell r="C995" t="str">
            <v>07</v>
          </cell>
          <cell r="D995" t="str">
            <v>09</v>
          </cell>
          <cell r="E995" t="str">
            <v>452 99 00</v>
          </cell>
          <cell r="F995" t="str">
            <v>001</v>
          </cell>
        </row>
        <row r="996">
          <cell r="A996" t="str">
            <v>Услуги по содержанию иммущества 8,40,00</v>
          </cell>
          <cell r="B996" t="str">
            <v>903</v>
          </cell>
          <cell r="C996" t="str">
            <v>07</v>
          </cell>
          <cell r="D996" t="str">
            <v>09</v>
          </cell>
          <cell r="E996" t="str">
            <v>452 99 00</v>
          </cell>
          <cell r="F996" t="str">
            <v>001</v>
          </cell>
        </row>
        <row r="997">
          <cell r="A997" t="str">
            <v>Прочие услуги</v>
          </cell>
          <cell r="B997" t="str">
            <v>903</v>
          </cell>
          <cell r="C997" t="str">
            <v>07</v>
          </cell>
          <cell r="D997" t="str">
            <v>09</v>
          </cell>
          <cell r="E997" t="str">
            <v>452 99 00</v>
          </cell>
          <cell r="F997" t="str">
            <v>001</v>
          </cell>
        </row>
        <row r="998">
          <cell r="A998" t="str">
            <v>Прочие расходы </v>
          </cell>
          <cell r="B998" t="str">
            <v>903</v>
          </cell>
          <cell r="C998" t="str">
            <v>07</v>
          </cell>
          <cell r="D998" t="str">
            <v>09</v>
          </cell>
          <cell r="E998" t="str">
            <v>452 99 00</v>
          </cell>
          <cell r="F998" t="str">
            <v>001</v>
          </cell>
        </row>
        <row r="999">
          <cell r="A999" t="str">
            <v>Поступление нефинансовых активов</v>
          </cell>
          <cell r="B999" t="str">
            <v>903</v>
          </cell>
          <cell r="C999" t="str">
            <v>07</v>
          </cell>
          <cell r="D999" t="str">
            <v>09</v>
          </cell>
          <cell r="E999" t="str">
            <v>452 99 00</v>
          </cell>
          <cell r="F999" t="str">
            <v>001</v>
          </cell>
        </row>
        <row r="1000">
          <cell r="A1000" t="str">
            <v>Увеличение стоимости основных средств</v>
          </cell>
          <cell r="B1000" t="str">
            <v>903</v>
          </cell>
          <cell r="C1000" t="str">
            <v>07</v>
          </cell>
          <cell r="D1000" t="str">
            <v>09</v>
          </cell>
          <cell r="E1000" t="str">
            <v>452 99 00</v>
          </cell>
          <cell r="F1000" t="str">
            <v>001</v>
          </cell>
        </row>
        <row r="1001">
          <cell r="A1001" t="str">
            <v>Увеличение стоимости материальных запасов</v>
          </cell>
          <cell r="B1001" t="str">
            <v>903</v>
          </cell>
          <cell r="C1001" t="str">
            <v>07</v>
          </cell>
          <cell r="D1001" t="str">
            <v>09</v>
          </cell>
          <cell r="E1001" t="str">
            <v>452 99 00</v>
          </cell>
          <cell r="F1001" t="str">
            <v>001</v>
          </cell>
        </row>
        <row r="1002">
          <cell r="A1002" t="str">
            <v>Субсидии некоммерческим организациям</v>
          </cell>
          <cell r="B1002" t="str">
            <v>903</v>
          </cell>
          <cell r="C1002" t="str">
            <v>07</v>
          </cell>
          <cell r="D1002" t="str">
            <v>09</v>
          </cell>
          <cell r="E1002" t="str">
            <v>452 99 00</v>
          </cell>
          <cell r="F1002" t="str">
            <v>019</v>
          </cell>
        </row>
        <row r="1003">
          <cell r="A1003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003" t="str">
            <v>903</v>
          </cell>
          <cell r="C1003" t="str">
            <v>07</v>
          </cell>
          <cell r="D1003" t="str">
            <v>09</v>
          </cell>
          <cell r="E1003" t="str">
            <v>590 00 00</v>
          </cell>
          <cell r="F1003" t="str">
            <v>000</v>
          </cell>
        </row>
        <row r="1004">
          <cell r="A1004" t="str">
            <v>Выполнение функций бюджетными учреждениями</v>
          </cell>
          <cell r="B1004" t="str">
            <v>903</v>
          </cell>
          <cell r="C1004" t="str">
            <v>07</v>
          </cell>
          <cell r="D1004" t="str">
            <v>09</v>
          </cell>
          <cell r="E1004" t="str">
            <v>590 00 00</v>
          </cell>
          <cell r="F1004" t="str">
            <v>001</v>
          </cell>
        </row>
        <row r="1005">
          <cell r="A1005" t="str">
            <v>Выполнение функций органами местного самоуправления</v>
          </cell>
          <cell r="B1005" t="str">
            <v>903</v>
          </cell>
          <cell r="C1005" t="str">
            <v>07</v>
          </cell>
          <cell r="D1005" t="str">
            <v>09</v>
          </cell>
          <cell r="E1005" t="str">
            <v>590 00 00</v>
          </cell>
          <cell r="F1005" t="str">
            <v>500</v>
          </cell>
        </row>
        <row r="1006">
          <cell r="A1006" t="str">
            <v>Погашение просроченной кредиторской задолженности по состоянию на 1 апреля 2012 года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</v>
          </cell>
          <cell r="B1006" t="str">
            <v>903</v>
          </cell>
          <cell r="C1006" t="str">
            <v>07</v>
          </cell>
          <cell r="D1006" t="str">
            <v>09</v>
          </cell>
          <cell r="E1006" t="str">
            <v>594 00 00</v>
          </cell>
          <cell r="F1006" t="str">
            <v>000</v>
          </cell>
        </row>
        <row r="1007">
          <cell r="A1007" t="str">
            <v>Субсидии некоммерческим организациям</v>
          </cell>
          <cell r="B1007" t="str">
            <v>903</v>
          </cell>
          <cell r="C1007" t="str">
            <v>07</v>
          </cell>
          <cell r="D1007" t="str">
            <v>09</v>
          </cell>
          <cell r="E1007" t="str">
            <v>594 00 00</v>
          </cell>
          <cell r="F1007" t="str">
            <v>500</v>
          </cell>
        </row>
        <row r="1008">
          <cell r="A1008" t="str">
            <v>Целевые программы муниципальных образований </v>
          </cell>
          <cell r="B1008" t="str">
            <v>903</v>
          </cell>
          <cell r="C1008" t="str">
            <v>07</v>
          </cell>
          <cell r="D1008" t="str">
            <v>09</v>
          </cell>
          <cell r="E1008" t="str">
            <v>795 00 00</v>
          </cell>
          <cell r="F1008" t="str">
            <v>000</v>
          </cell>
        </row>
        <row r="1009">
          <cell r="A1009" t="str">
            <v>Выполнение функций органами местного самоуправления</v>
          </cell>
          <cell r="B1009" t="str">
            <v>903</v>
          </cell>
          <cell r="C1009" t="str">
            <v>07</v>
          </cell>
          <cell r="D1009" t="str">
            <v>09</v>
          </cell>
          <cell r="E1009" t="str">
            <v>795 00 00</v>
          </cell>
          <cell r="F1009" t="str">
            <v>500</v>
          </cell>
        </row>
        <row r="1010">
          <cell r="A1010" t="str">
            <v>Расходы</v>
          </cell>
          <cell r="B1010" t="str">
            <v>903</v>
          </cell>
          <cell r="C1010" t="str">
            <v>07</v>
          </cell>
          <cell r="D1010" t="str">
            <v>09</v>
          </cell>
          <cell r="E1010" t="str">
            <v>795 00 00</v>
          </cell>
          <cell r="F1010" t="str">
            <v>500</v>
          </cell>
        </row>
        <row r="1011">
          <cell r="A1011" t="str">
            <v>Приобретение услуг</v>
          </cell>
          <cell r="B1011" t="str">
            <v>903</v>
          </cell>
          <cell r="C1011" t="str">
            <v>07</v>
          </cell>
          <cell r="D1011" t="str">
            <v>09</v>
          </cell>
          <cell r="E1011" t="str">
            <v>795 00 00</v>
          </cell>
          <cell r="F1011" t="str">
            <v>500</v>
          </cell>
        </row>
        <row r="1012">
          <cell r="A1012" t="str">
            <v>Обеспечение пожарной безопасности в образовательных учреждениях Усольского района на 2012-2014 год</v>
          </cell>
          <cell r="B1012" t="str">
            <v>903</v>
          </cell>
          <cell r="C1012" t="str">
            <v>07</v>
          </cell>
          <cell r="D1012" t="str">
            <v>09</v>
          </cell>
          <cell r="E1012" t="str">
            <v>795 01 00</v>
          </cell>
          <cell r="F1012" t="str">
            <v>000</v>
          </cell>
        </row>
        <row r="1013">
          <cell r="A1013" t="str">
            <v>Выполнение функций органами местного самоуправления</v>
          </cell>
          <cell r="B1013" t="str">
            <v>903</v>
          </cell>
          <cell r="C1013" t="str">
            <v>07</v>
          </cell>
          <cell r="D1013" t="str">
            <v>09</v>
          </cell>
          <cell r="E1013" t="str">
            <v>795 01 00</v>
          </cell>
          <cell r="F1013" t="str">
            <v>500</v>
          </cell>
        </row>
        <row r="1014">
          <cell r="A1014" t="str">
            <v>Информатизация системы образования Усольского района в 2012-2014г.</v>
          </cell>
          <cell r="B1014" t="str">
            <v>903</v>
          </cell>
          <cell r="C1014" t="str">
            <v>07</v>
          </cell>
          <cell r="D1014" t="str">
            <v>09</v>
          </cell>
          <cell r="E1014" t="str">
            <v>795 03 00</v>
          </cell>
          <cell r="F1014" t="str">
            <v>000</v>
          </cell>
        </row>
        <row r="1015">
          <cell r="A1015" t="str">
            <v>Выполнение функций органами местного самоуправления</v>
          </cell>
          <cell r="B1015" t="str">
            <v>903</v>
          </cell>
          <cell r="C1015" t="str">
            <v>07</v>
          </cell>
          <cell r="D1015" t="str">
            <v>09</v>
          </cell>
          <cell r="E1015" t="str">
            <v>795 03 00</v>
          </cell>
          <cell r="F1015" t="str">
            <v>500</v>
          </cell>
        </row>
        <row r="1016">
          <cell r="A1016" t="str">
            <v>Обеспечение охраны образовательных учреждений Усольского района в 2012-2014 г</v>
          </cell>
          <cell r="B1016" t="str">
            <v>903</v>
          </cell>
          <cell r="C1016" t="str">
            <v>07</v>
          </cell>
          <cell r="D1016" t="str">
            <v>09</v>
          </cell>
          <cell r="E1016" t="str">
            <v>795 05 00</v>
          </cell>
          <cell r="F1016" t="str">
            <v>000</v>
          </cell>
        </row>
        <row r="1017">
          <cell r="A1017" t="str">
            <v>Выполнение функций органами местного самоуправления</v>
          </cell>
          <cell r="B1017" t="str">
            <v>903</v>
          </cell>
          <cell r="C1017" t="str">
            <v>07</v>
          </cell>
          <cell r="D1017" t="str">
            <v>09</v>
          </cell>
          <cell r="E1017" t="str">
            <v>795 05 00</v>
          </cell>
          <cell r="F1017" t="str">
            <v>500</v>
          </cell>
        </row>
        <row r="1018">
          <cell r="A1018" t="str">
            <v>Обеспечение  безопасности школьных перевозок  детей  образовательными учреждениями  Усольского района в 2012-2014г</v>
          </cell>
          <cell r="B1018" t="str">
            <v>903</v>
          </cell>
          <cell r="C1018" t="str">
            <v>07</v>
          </cell>
          <cell r="D1018" t="str">
            <v>09</v>
          </cell>
          <cell r="E1018" t="str">
            <v>795 06 00</v>
          </cell>
          <cell r="F1018" t="str">
            <v>000</v>
          </cell>
        </row>
        <row r="1019">
          <cell r="A1019" t="str">
            <v>Выполнение функций органами местного самоуправления</v>
          </cell>
          <cell r="B1019" t="str">
            <v>903</v>
          </cell>
          <cell r="C1019" t="str">
            <v>07</v>
          </cell>
          <cell r="D1019" t="str">
            <v>09</v>
          </cell>
          <cell r="E1019" t="str">
            <v>795 06 00</v>
          </cell>
          <cell r="F1019" t="str">
            <v>500</v>
          </cell>
        </row>
        <row r="1020">
          <cell r="A1020" t="str">
            <v>Обучение и воспитание одаренных детей в Усольском районе на 2012-2014гг.</v>
          </cell>
          <cell r="B1020" t="str">
            <v>903</v>
          </cell>
          <cell r="C1020" t="str">
            <v>07</v>
          </cell>
          <cell r="D1020" t="str">
            <v>09</v>
          </cell>
          <cell r="E1020" t="str">
            <v>795 07 00</v>
          </cell>
          <cell r="F1020" t="str">
            <v>000</v>
          </cell>
        </row>
        <row r="1021">
          <cell r="A1021" t="str">
            <v>Выполнение функций органами местного самоуправления</v>
          </cell>
          <cell r="B1021" t="str">
            <v>903</v>
          </cell>
          <cell r="C1021" t="str">
            <v>07</v>
          </cell>
          <cell r="D1021" t="str">
            <v>09</v>
          </cell>
          <cell r="E1021" t="str">
            <v>795 07 00</v>
          </cell>
          <cell r="F1021" t="str">
            <v>500</v>
          </cell>
        </row>
        <row r="1022">
          <cell r="A1022" t="str">
            <v>Здоровое поколение в 2012-2014 г</v>
          </cell>
          <cell r="B1022" t="str">
            <v>903</v>
          </cell>
          <cell r="C1022" t="str">
            <v>07</v>
          </cell>
          <cell r="D1022" t="str">
            <v>09</v>
          </cell>
          <cell r="E1022" t="str">
            <v>795 08 00</v>
          </cell>
          <cell r="F1022" t="str">
            <v>000</v>
          </cell>
        </row>
        <row r="1023">
          <cell r="A1023" t="str">
            <v>Выполнение функций органами местного самоуправления</v>
          </cell>
          <cell r="B1023" t="str">
            <v>903</v>
          </cell>
          <cell r="C1023" t="str">
            <v>07</v>
          </cell>
          <cell r="D1023" t="str">
            <v>09</v>
          </cell>
          <cell r="E1023" t="str">
            <v>795 08 00</v>
          </cell>
          <cell r="F1023" t="str">
            <v>500</v>
          </cell>
        </row>
        <row r="1024">
          <cell r="A1024" t="str">
            <v>Улучшение условий охраны труда ,обеспечение санитарно-гигиенического благополучия в образовательных учреждениях Усольского района в 2012-2014гг</v>
          </cell>
          <cell r="B1024" t="str">
            <v>903</v>
          </cell>
          <cell r="C1024" t="str">
            <v>07</v>
          </cell>
          <cell r="D1024" t="str">
            <v>09</v>
          </cell>
          <cell r="E1024" t="str">
            <v>795 09 00</v>
          </cell>
          <cell r="F1024" t="str">
            <v>000</v>
          </cell>
        </row>
        <row r="1025">
          <cell r="A1025" t="str">
            <v>Выполнение функций органами местного самоуправления</v>
          </cell>
          <cell r="B1025" t="str">
            <v>903</v>
          </cell>
          <cell r="C1025" t="str">
            <v>07</v>
          </cell>
          <cell r="D1025" t="str">
            <v>09</v>
          </cell>
          <cell r="E1025" t="str">
            <v>795 09 00</v>
          </cell>
          <cell r="F1025" t="str">
            <v>500</v>
          </cell>
        </row>
        <row r="1026">
          <cell r="A1026" t="str">
            <v>Развитие дошкольного образования на территории  Усольского района 2012-2014 г</v>
          </cell>
          <cell r="B1026" t="str">
            <v>903</v>
          </cell>
          <cell r="C1026" t="str">
            <v>07</v>
          </cell>
          <cell r="D1026" t="str">
            <v>09</v>
          </cell>
          <cell r="E1026" t="str">
            <v>795 10 00</v>
          </cell>
          <cell r="F1026" t="str">
            <v>000</v>
          </cell>
        </row>
        <row r="1027">
          <cell r="A1027" t="str">
            <v>Выполнение функций органами местного самоуправления</v>
          </cell>
          <cell r="B1027" t="str">
            <v>903</v>
          </cell>
          <cell r="C1027" t="str">
            <v>07</v>
          </cell>
          <cell r="D1027" t="str">
            <v>09</v>
          </cell>
          <cell r="E1027" t="str">
            <v>795 10 00</v>
          </cell>
          <cell r="F1027" t="str">
            <v>500</v>
          </cell>
        </row>
        <row r="1028">
          <cell r="A1028" t="str">
            <v>Демографическое развитие УРМО на 2009-2012 гг</v>
          </cell>
          <cell r="B1028" t="str">
            <v>903</v>
          </cell>
          <cell r="C1028" t="str">
            <v>07</v>
          </cell>
          <cell r="D1028" t="str">
            <v>09</v>
          </cell>
          <cell r="E1028" t="str">
            <v>795 31 00</v>
          </cell>
          <cell r="F1028" t="str">
            <v>000</v>
          </cell>
        </row>
        <row r="1029">
          <cell r="A1029" t="str">
            <v>Выполнение функций органами местного самоуправления</v>
          </cell>
          <cell r="B1029" t="str">
            <v>903</v>
          </cell>
          <cell r="C1029" t="str">
            <v>07</v>
          </cell>
          <cell r="D1029" t="str">
            <v>09</v>
          </cell>
          <cell r="E1029" t="str">
            <v>795 31 00</v>
          </cell>
          <cell r="F1029" t="str">
            <v>500</v>
          </cell>
        </row>
        <row r="1030">
          <cell r="A1030" t="str">
            <v>Совершенствование организации питания в образовательных учреждениях Усольского района на 2011-2012гг</v>
          </cell>
          <cell r="B1030" t="str">
            <v>903</v>
          </cell>
          <cell r="C1030" t="str">
            <v>07</v>
          </cell>
          <cell r="D1030" t="str">
            <v>09</v>
          </cell>
          <cell r="E1030" t="str">
            <v>795 33 00</v>
          </cell>
          <cell r="F1030" t="str">
            <v>000</v>
          </cell>
        </row>
        <row r="1031">
          <cell r="A1031" t="str">
            <v>Прочие услуги</v>
          </cell>
          <cell r="B1031" t="str">
            <v>903</v>
          </cell>
          <cell r="C1031" t="str">
            <v>07</v>
          </cell>
          <cell r="D1031" t="str">
            <v>09</v>
          </cell>
          <cell r="E1031" t="str">
            <v>795 09 00</v>
          </cell>
          <cell r="F1031" t="str">
            <v>500</v>
          </cell>
        </row>
        <row r="1032">
          <cell r="A1032" t="str">
            <v>Прочие услуги</v>
          </cell>
          <cell r="B1032" t="str">
            <v>903</v>
          </cell>
          <cell r="C1032" t="str">
            <v>07</v>
          </cell>
          <cell r="D1032" t="str">
            <v>09</v>
          </cell>
          <cell r="E1032" t="str">
            <v>795 10 00</v>
          </cell>
          <cell r="F1032" t="str">
            <v>500</v>
          </cell>
        </row>
        <row r="1033">
          <cell r="A1033" t="str">
            <v>Прочие услуги</v>
          </cell>
          <cell r="B1033" t="str">
            <v>903</v>
          </cell>
          <cell r="C1033" t="str">
            <v>07</v>
          </cell>
          <cell r="D1033" t="str">
            <v>09</v>
          </cell>
          <cell r="E1033" t="str">
            <v>795 00 00</v>
          </cell>
          <cell r="F1033" t="str">
            <v>500</v>
          </cell>
        </row>
        <row r="1034">
          <cell r="A1034" t="str">
            <v>Прочие услуги</v>
          </cell>
          <cell r="B1034" t="str">
            <v>903</v>
          </cell>
          <cell r="C1034" t="str">
            <v>07</v>
          </cell>
          <cell r="D1034" t="str">
            <v>09</v>
          </cell>
          <cell r="E1034" t="str">
            <v>795 00 00</v>
          </cell>
          <cell r="F1034" t="str">
            <v>500</v>
          </cell>
        </row>
        <row r="1035">
          <cell r="A1035" t="str">
            <v>Прочие расходы </v>
          </cell>
          <cell r="B1035" t="str">
            <v>903</v>
          </cell>
          <cell r="C1035" t="str">
            <v>07</v>
          </cell>
          <cell r="D1035" t="str">
            <v>09</v>
          </cell>
          <cell r="E1035" t="str">
            <v>795 00 00</v>
          </cell>
          <cell r="F1035" t="str">
            <v>500</v>
          </cell>
        </row>
        <row r="1036">
          <cell r="A1036" t="str">
            <v>Поступление нефинансовых активов</v>
          </cell>
          <cell r="B1036" t="str">
            <v>903</v>
          </cell>
          <cell r="C1036" t="str">
            <v>07</v>
          </cell>
          <cell r="D1036" t="str">
            <v>09</v>
          </cell>
          <cell r="E1036" t="str">
            <v>795 00 00</v>
          </cell>
          <cell r="F1036" t="str">
            <v>500</v>
          </cell>
        </row>
        <row r="1037">
          <cell r="A1037" t="str">
            <v>Увеличение стоимости основных средств</v>
          </cell>
          <cell r="B1037" t="str">
            <v>903</v>
          </cell>
          <cell r="C1037" t="str">
            <v>07</v>
          </cell>
          <cell r="D1037" t="str">
            <v>09</v>
          </cell>
          <cell r="E1037" t="str">
            <v>795 00 00</v>
          </cell>
          <cell r="F1037" t="str">
            <v>500</v>
          </cell>
        </row>
        <row r="1038">
          <cell r="A1038" t="str">
            <v>Увеличение стоимости материальных запасов </v>
          </cell>
          <cell r="B1038" t="str">
            <v>903</v>
          </cell>
          <cell r="C1038" t="str">
            <v>07</v>
          </cell>
          <cell r="D1038" t="str">
            <v>09</v>
          </cell>
          <cell r="E1038" t="str">
            <v>795 00 00</v>
          </cell>
          <cell r="F1038" t="str">
            <v>500</v>
          </cell>
        </row>
        <row r="1039">
          <cell r="A1039" t="str">
            <v>Прочие услуги</v>
          </cell>
          <cell r="B1039" t="str">
            <v>903</v>
          </cell>
          <cell r="C1039" t="str">
            <v>07</v>
          </cell>
          <cell r="D1039" t="str">
            <v>09</v>
          </cell>
          <cell r="E1039" t="str">
            <v>795 33 00</v>
          </cell>
          <cell r="F1039" t="str">
            <v>500</v>
          </cell>
        </row>
        <row r="1040">
          <cell r="A1040" t="str">
            <v>Прочие расходы </v>
          </cell>
          <cell r="B1040" t="str">
            <v>903</v>
          </cell>
          <cell r="C1040" t="str">
            <v>07</v>
          </cell>
          <cell r="D1040" t="str">
            <v>09</v>
          </cell>
          <cell r="E1040" t="str">
            <v>795 01 00</v>
          </cell>
          <cell r="F1040" t="str">
            <v>500</v>
          </cell>
        </row>
        <row r="1041">
          <cell r="A1041" t="str">
            <v>Прочие расходы </v>
          </cell>
          <cell r="B1041" t="str">
            <v>903</v>
          </cell>
          <cell r="C1041" t="str">
            <v>07</v>
          </cell>
          <cell r="D1041" t="str">
            <v>09</v>
          </cell>
          <cell r="E1041" t="str">
            <v>795 07 00</v>
          </cell>
          <cell r="F1041" t="str">
            <v>500</v>
          </cell>
        </row>
        <row r="1042">
          <cell r="B1042" t="str">
            <v>903</v>
          </cell>
          <cell r="C1042" t="str">
            <v>07</v>
          </cell>
          <cell r="D1042" t="str">
            <v>09</v>
          </cell>
          <cell r="E1042" t="str">
            <v>795 08 00</v>
          </cell>
          <cell r="F1042" t="str">
            <v>500</v>
          </cell>
        </row>
        <row r="1043">
          <cell r="A1043" t="str">
            <v>Поступление нефинансовых активов</v>
          </cell>
          <cell r="B1043" t="str">
            <v>903</v>
          </cell>
          <cell r="C1043" t="str">
            <v>07</v>
          </cell>
          <cell r="D1043" t="str">
            <v>09</v>
          </cell>
          <cell r="E1043" t="str">
            <v>795 03 00</v>
          </cell>
          <cell r="F1043" t="str">
            <v>500</v>
          </cell>
        </row>
        <row r="1044">
          <cell r="B1044" t="str">
            <v>903</v>
          </cell>
          <cell r="C1044" t="str">
            <v>07</v>
          </cell>
          <cell r="D1044" t="str">
            <v>09</v>
          </cell>
          <cell r="E1044" t="str">
            <v>795 01 00</v>
          </cell>
          <cell r="F1044" t="str">
            <v>500</v>
          </cell>
        </row>
        <row r="1045">
          <cell r="A1045" t="str">
            <v>Увеличение стоимости основных средств</v>
          </cell>
          <cell r="B1045" t="str">
            <v>903</v>
          </cell>
          <cell r="C1045" t="str">
            <v>07</v>
          </cell>
          <cell r="D1045" t="str">
            <v>09</v>
          </cell>
          <cell r="E1045" t="str">
            <v>795 03 00</v>
          </cell>
          <cell r="F1045" t="str">
            <v>500</v>
          </cell>
        </row>
        <row r="1046">
          <cell r="B1046" t="str">
            <v>903</v>
          </cell>
          <cell r="C1046" t="str">
            <v>07</v>
          </cell>
          <cell r="D1046" t="str">
            <v>09</v>
          </cell>
          <cell r="E1046" t="str">
            <v>795 09 00</v>
          </cell>
          <cell r="F1046" t="str">
            <v>500</v>
          </cell>
        </row>
        <row r="1047">
          <cell r="A1047" t="str">
            <v>Увеличение стоимости основных средств</v>
          </cell>
          <cell r="B1047" t="str">
            <v>903</v>
          </cell>
          <cell r="C1047" t="str">
            <v>07</v>
          </cell>
          <cell r="D1047" t="str">
            <v>09</v>
          </cell>
          <cell r="E1047" t="str">
            <v>795 06 00</v>
          </cell>
          <cell r="F1047" t="str">
            <v>500</v>
          </cell>
        </row>
        <row r="1048">
          <cell r="A1048" t="str">
            <v>Увеличение стоимости основных средств</v>
          </cell>
          <cell r="B1048" t="str">
            <v>903</v>
          </cell>
          <cell r="C1048" t="str">
            <v>07</v>
          </cell>
          <cell r="D1048" t="str">
            <v>09</v>
          </cell>
          <cell r="E1048" t="str">
            <v>795 10 00</v>
          </cell>
          <cell r="F1048" t="str">
            <v>500</v>
          </cell>
        </row>
        <row r="1049">
          <cell r="A1049" t="str">
            <v>Увеличение стоимости материальных запасов</v>
          </cell>
          <cell r="B1049" t="str">
            <v>903</v>
          </cell>
          <cell r="C1049" t="str">
            <v>07</v>
          </cell>
          <cell r="D1049" t="str">
            <v>09</v>
          </cell>
          <cell r="E1049" t="str">
            <v>795 01 00</v>
          </cell>
          <cell r="F1049" t="str">
            <v>500</v>
          </cell>
        </row>
        <row r="1050">
          <cell r="A1050" t="str">
            <v>Увеличение стоимости материальных запасов</v>
          </cell>
          <cell r="B1050" t="str">
            <v>903</v>
          </cell>
          <cell r="C1050" t="str">
            <v>07</v>
          </cell>
          <cell r="D1050" t="str">
            <v>09</v>
          </cell>
          <cell r="E1050" t="str">
            <v>795 06 00</v>
          </cell>
          <cell r="F1050" t="str">
            <v>500</v>
          </cell>
        </row>
        <row r="1052">
          <cell r="A1052" t="str">
            <v>Увеличение стоимости материальных запасов</v>
          </cell>
          <cell r="B1052" t="str">
            <v>903</v>
          </cell>
          <cell r="C1052" t="str">
            <v>07</v>
          </cell>
          <cell r="D1052" t="str">
            <v>09</v>
          </cell>
          <cell r="E1052" t="str">
            <v>795 07 00</v>
          </cell>
          <cell r="F1052" t="str">
            <v>500</v>
          </cell>
        </row>
        <row r="1053">
          <cell r="B1053" t="str">
            <v>903</v>
          </cell>
          <cell r="C1053" t="str">
            <v>07</v>
          </cell>
          <cell r="D1053" t="str">
            <v>09</v>
          </cell>
          <cell r="E1053" t="str">
            <v>795 09 00</v>
          </cell>
          <cell r="F1053" t="str">
            <v>500</v>
          </cell>
        </row>
        <row r="1054">
          <cell r="A1054" t="str">
            <v>Увеличение стоимости материальных запасов</v>
          </cell>
          <cell r="B1054" t="str">
            <v>903</v>
          </cell>
          <cell r="C1054" t="str">
            <v>07</v>
          </cell>
          <cell r="D1054" t="str">
            <v>09</v>
          </cell>
          <cell r="E1054" t="str">
            <v>795 08 00</v>
          </cell>
          <cell r="F1054" t="str">
            <v>500</v>
          </cell>
        </row>
        <row r="1055">
          <cell r="A1055" t="str">
            <v>Увеличение стоимости материальных запасов</v>
          </cell>
          <cell r="B1055" t="str">
            <v>903</v>
          </cell>
          <cell r="C1055" t="str">
            <v>07</v>
          </cell>
          <cell r="D1055" t="str">
            <v>09</v>
          </cell>
          <cell r="E1055" t="str">
            <v>795 10 00</v>
          </cell>
          <cell r="F1055" t="str">
            <v>500</v>
          </cell>
        </row>
        <row r="1056">
          <cell r="A1056" t="str">
            <v>Образование </v>
          </cell>
          <cell r="C1056" t="str">
            <v>07</v>
          </cell>
          <cell r="D1056" t="str">
            <v>00</v>
          </cell>
          <cell r="E1056" t="str">
            <v>000 00 00</v>
          </cell>
          <cell r="F1056" t="str">
            <v>000</v>
          </cell>
        </row>
        <row r="1057">
          <cell r="A1057" t="str">
            <v>Расходы</v>
          </cell>
          <cell r="C1057" t="str">
            <v>07</v>
          </cell>
          <cell r="D1057" t="str">
            <v>00</v>
          </cell>
          <cell r="E1057" t="str">
            <v>000 00 00</v>
          </cell>
          <cell r="F1057" t="str">
            <v>000</v>
          </cell>
        </row>
        <row r="1058">
          <cell r="A1058" t="str">
            <v>Оплата труда и начисления на оплату труда</v>
          </cell>
          <cell r="C1058" t="str">
            <v>07</v>
          </cell>
          <cell r="D1058" t="str">
            <v>00</v>
          </cell>
          <cell r="E1058" t="str">
            <v>000 00 00</v>
          </cell>
          <cell r="F1058" t="str">
            <v>000</v>
          </cell>
        </row>
        <row r="1059">
          <cell r="A1059" t="str">
            <v>Заработная плата</v>
          </cell>
          <cell r="C1059" t="str">
            <v>07</v>
          </cell>
          <cell r="D1059" t="str">
            <v>00</v>
          </cell>
          <cell r="E1059" t="str">
            <v>000 00 00</v>
          </cell>
          <cell r="F1059" t="str">
            <v>000</v>
          </cell>
        </row>
        <row r="1060">
          <cell r="A1060" t="str">
            <v>Прочие выплаты</v>
          </cell>
          <cell r="C1060" t="str">
            <v>07</v>
          </cell>
          <cell r="D1060" t="str">
            <v>00</v>
          </cell>
          <cell r="E1060" t="str">
            <v>000 00 00</v>
          </cell>
          <cell r="F1060" t="str">
            <v>000</v>
          </cell>
        </row>
        <row r="1061">
          <cell r="A1061" t="str">
            <v>Начисление на оплату труда</v>
          </cell>
          <cell r="C1061" t="str">
            <v>07</v>
          </cell>
          <cell r="D1061" t="str">
            <v>00</v>
          </cell>
          <cell r="E1061" t="str">
            <v>000 00 00</v>
          </cell>
          <cell r="F1061" t="str">
            <v>000</v>
          </cell>
        </row>
        <row r="1062">
          <cell r="A1062" t="str">
            <v>Приобретение услуг</v>
          </cell>
          <cell r="C1062" t="str">
            <v>07</v>
          </cell>
          <cell r="D1062" t="str">
            <v>00</v>
          </cell>
          <cell r="E1062" t="str">
            <v>000 00 00</v>
          </cell>
          <cell r="F1062" t="str">
            <v>000</v>
          </cell>
        </row>
        <row r="1063">
          <cell r="A1063" t="str">
            <v>Услуги связи </v>
          </cell>
          <cell r="C1063" t="str">
            <v>07</v>
          </cell>
          <cell r="D1063" t="str">
            <v>00</v>
          </cell>
          <cell r="E1063" t="str">
            <v>000 00 00</v>
          </cell>
          <cell r="F1063" t="str">
            <v>000</v>
          </cell>
        </row>
        <row r="1064">
          <cell r="A1064" t="str">
            <v>Транспортные услуги</v>
          </cell>
          <cell r="C1064" t="str">
            <v>07</v>
          </cell>
          <cell r="D1064" t="str">
            <v>00</v>
          </cell>
          <cell r="E1064" t="str">
            <v>000 00 00</v>
          </cell>
          <cell r="F1064" t="str">
            <v>000</v>
          </cell>
        </row>
        <row r="1065">
          <cell r="A1065" t="str">
            <v>Коммунальные услуги</v>
          </cell>
          <cell r="C1065" t="str">
            <v>07</v>
          </cell>
          <cell r="D1065" t="str">
            <v>00</v>
          </cell>
          <cell r="E1065" t="str">
            <v>000 00 00</v>
          </cell>
          <cell r="F1065" t="str">
            <v>000</v>
          </cell>
        </row>
        <row r="1066">
          <cell r="A1066" t="str">
            <v>Арендная плата за пользование иммуществом </v>
          </cell>
          <cell r="C1066" t="str">
            <v>07</v>
          </cell>
          <cell r="D1066" t="str">
            <v>00</v>
          </cell>
          <cell r="E1066" t="str">
            <v>000 00 00</v>
          </cell>
          <cell r="F1066" t="str">
            <v>000</v>
          </cell>
        </row>
        <row r="1067">
          <cell r="A1067" t="str">
            <v>Услуги по содержанию иммущества</v>
          </cell>
          <cell r="C1067" t="str">
            <v>07</v>
          </cell>
          <cell r="D1067" t="str">
            <v>00</v>
          </cell>
          <cell r="E1067" t="str">
            <v>000 00 00</v>
          </cell>
          <cell r="F1067" t="str">
            <v>000</v>
          </cell>
        </row>
        <row r="1068">
          <cell r="A1068" t="str">
            <v>Безвозмездные и безвозвратные перечисления государственным и муниципальным организациям</v>
          </cell>
          <cell r="C1068" t="str">
            <v>07</v>
          </cell>
          <cell r="D1068" t="str">
            <v>00</v>
          </cell>
          <cell r="E1068" t="str">
            <v>000 00 00</v>
          </cell>
          <cell r="F1068" t="str">
            <v>000</v>
          </cell>
        </row>
        <row r="1069">
          <cell r="A1069" t="str">
            <v>Прочие услуги</v>
          </cell>
          <cell r="C1069" t="str">
            <v>07</v>
          </cell>
          <cell r="D1069" t="str">
            <v>00</v>
          </cell>
          <cell r="E1069" t="str">
            <v>000 00 00</v>
          </cell>
          <cell r="F1069" t="str">
            <v>000</v>
          </cell>
        </row>
        <row r="1070">
          <cell r="A1070" t="str">
            <v>Социальное обеспечение</v>
          </cell>
          <cell r="C1070" t="str">
            <v>07</v>
          </cell>
          <cell r="D1070" t="str">
            <v>00</v>
          </cell>
          <cell r="E1070" t="str">
            <v>000 00 00</v>
          </cell>
          <cell r="F1070" t="str">
            <v>000</v>
          </cell>
        </row>
        <row r="1071">
          <cell r="A1071" t="str">
            <v>Пособия по социальной помощи населению</v>
          </cell>
          <cell r="C1071" t="str">
            <v>07</v>
          </cell>
          <cell r="D1071" t="str">
            <v>00</v>
          </cell>
          <cell r="E1071" t="str">
            <v>000 00 00</v>
          </cell>
          <cell r="F1071" t="str">
            <v>000</v>
          </cell>
        </row>
        <row r="1072">
          <cell r="A1072" t="str">
            <v>Прочие расходы</v>
          </cell>
          <cell r="C1072" t="str">
            <v>07</v>
          </cell>
          <cell r="D1072" t="str">
            <v>00</v>
          </cell>
          <cell r="E1072" t="str">
            <v>000 00 00</v>
          </cell>
          <cell r="F1072" t="str">
            <v>000</v>
          </cell>
        </row>
        <row r="1073">
          <cell r="A1073" t="str">
            <v>Поступление нефинансовых активов</v>
          </cell>
          <cell r="C1073" t="str">
            <v>07</v>
          </cell>
          <cell r="D1073" t="str">
            <v>00</v>
          </cell>
          <cell r="E1073" t="str">
            <v>000 00 00</v>
          </cell>
          <cell r="F1073" t="str">
            <v>000</v>
          </cell>
        </row>
        <row r="1074">
          <cell r="A1074" t="str">
            <v>Увеличение стоимости основных средств</v>
          </cell>
          <cell r="C1074" t="str">
            <v>07</v>
          </cell>
          <cell r="D1074" t="str">
            <v>00</v>
          </cell>
          <cell r="E1074" t="str">
            <v>000 00 00</v>
          </cell>
          <cell r="F1074" t="str">
            <v>000</v>
          </cell>
        </row>
        <row r="1075">
          <cell r="A1075" t="str">
            <v>Увеличение стоимости материальных запасов</v>
          </cell>
          <cell r="C1075" t="str">
            <v>07</v>
          </cell>
          <cell r="D1075" t="str">
            <v>00</v>
          </cell>
          <cell r="E1075" t="str">
            <v>000 00 00</v>
          </cell>
          <cell r="F1075" t="str">
            <v>000</v>
          </cell>
        </row>
        <row r="1076">
          <cell r="A1076" t="str">
            <v>Пособие по социальной помощи населению </v>
          </cell>
          <cell r="C1076" t="str">
            <v>07</v>
          </cell>
          <cell r="D1076" t="str">
            <v>00</v>
          </cell>
          <cell r="E1076" t="str">
            <v>000 00 00</v>
          </cell>
          <cell r="F1076" t="str">
            <v>000</v>
          </cell>
        </row>
        <row r="1077">
          <cell r="A1077" t="str">
            <v>ИТОГО:</v>
          </cell>
          <cell r="C1077" t="str">
            <v>07</v>
          </cell>
          <cell r="D1077" t="str">
            <v>00</v>
          </cell>
          <cell r="E1077" t="str">
            <v>000 00 00</v>
          </cell>
          <cell r="F1077" t="str">
            <v>000</v>
          </cell>
        </row>
        <row r="1078">
          <cell r="A1078" t="str">
            <v>Выполнение функций органами местного самоуправления</v>
          </cell>
          <cell r="B1078" t="str">
            <v>903</v>
          </cell>
          <cell r="C1078" t="str">
            <v>07</v>
          </cell>
          <cell r="D1078" t="str">
            <v>09</v>
          </cell>
          <cell r="E1078" t="str">
            <v>795 33 00</v>
          </cell>
          <cell r="F1078" t="str">
            <v>500</v>
          </cell>
        </row>
        <row r="1079">
          <cell r="A1079" t="str">
            <v>Культура и кинематография </v>
          </cell>
          <cell r="B1079" t="str">
            <v>905</v>
          </cell>
          <cell r="C1079" t="str">
            <v>08</v>
          </cell>
          <cell r="D1079" t="str">
            <v>00</v>
          </cell>
          <cell r="E1079" t="str">
            <v>000 00 00</v>
          </cell>
          <cell r="F1079" t="str">
            <v>000</v>
          </cell>
        </row>
        <row r="1080">
          <cell r="A1080" t="str">
            <v>Культура </v>
          </cell>
          <cell r="B1080" t="str">
            <v>905</v>
          </cell>
          <cell r="C1080" t="str">
            <v>08</v>
          </cell>
          <cell r="D1080" t="str">
            <v>01</v>
          </cell>
          <cell r="E1080" t="str">
            <v>000 00 00</v>
          </cell>
          <cell r="F1080" t="str">
            <v>000</v>
          </cell>
        </row>
        <row r="1081">
          <cell r="A1081" t="str">
            <v>Дворцы и дома культуры, другие учреждения культуры </v>
          </cell>
          <cell r="B1081" t="str">
            <v>905</v>
          </cell>
          <cell r="C1081" t="str">
            <v>08</v>
          </cell>
          <cell r="D1081" t="str">
            <v>01</v>
          </cell>
          <cell r="E1081" t="str">
            <v>440 00 00</v>
          </cell>
          <cell r="F1081" t="str">
            <v>000</v>
          </cell>
        </row>
        <row r="1082">
          <cell r="A1082" t="str">
            <v>Обеспечение деятельности подведомственных учреждений</v>
          </cell>
          <cell r="B1082" t="str">
            <v>905</v>
          </cell>
          <cell r="C1082" t="str">
            <v>08</v>
          </cell>
          <cell r="D1082" t="str">
            <v>01</v>
          </cell>
          <cell r="E1082" t="str">
            <v>440 99 00</v>
          </cell>
          <cell r="F1082" t="str">
            <v>000</v>
          </cell>
        </row>
        <row r="1083">
          <cell r="A1083" t="str">
            <v>Субсидии некоммерческим организациям</v>
          </cell>
          <cell r="B1083" t="str">
            <v>905</v>
          </cell>
          <cell r="C1083" t="str">
            <v>08</v>
          </cell>
          <cell r="D1083" t="str">
            <v>01</v>
          </cell>
          <cell r="E1083" t="str">
            <v>440 99 00</v>
          </cell>
          <cell r="F1083" t="str">
            <v>019</v>
          </cell>
        </row>
        <row r="1084">
          <cell r="A1084" t="str">
            <v>Расходы</v>
          </cell>
          <cell r="B1084" t="str">
            <v>905</v>
          </cell>
          <cell r="C1084" t="str">
            <v>08</v>
          </cell>
          <cell r="D1084" t="str">
            <v>01</v>
          </cell>
          <cell r="E1084" t="str">
            <v>440 99 00</v>
          </cell>
          <cell r="F1084" t="str">
            <v>001</v>
          </cell>
        </row>
        <row r="1085">
          <cell r="A1085" t="str">
            <v>Оплата труда и начисления на оплату труда</v>
          </cell>
          <cell r="B1085" t="str">
            <v>905</v>
          </cell>
          <cell r="C1085" t="str">
            <v>08</v>
          </cell>
          <cell r="D1085" t="str">
            <v>01</v>
          </cell>
          <cell r="E1085" t="str">
            <v>440 99 00</v>
          </cell>
          <cell r="F1085" t="str">
            <v>001</v>
          </cell>
        </row>
        <row r="1086">
          <cell r="A1086" t="str">
            <v>Заработная плата</v>
          </cell>
          <cell r="B1086" t="str">
            <v>905</v>
          </cell>
          <cell r="C1086" t="str">
            <v>08</v>
          </cell>
          <cell r="D1086" t="str">
            <v>01</v>
          </cell>
          <cell r="E1086" t="str">
            <v>440 99 00</v>
          </cell>
          <cell r="F1086" t="str">
            <v>001</v>
          </cell>
        </row>
        <row r="1087">
          <cell r="A1087" t="str">
            <v>Прочие выплаты</v>
          </cell>
          <cell r="B1087" t="str">
            <v>905</v>
          </cell>
          <cell r="C1087" t="str">
            <v>08</v>
          </cell>
          <cell r="D1087" t="str">
            <v>01</v>
          </cell>
          <cell r="E1087" t="str">
            <v>440 99 00</v>
          </cell>
          <cell r="F1087" t="str">
            <v>001</v>
          </cell>
        </row>
        <row r="1088">
          <cell r="A1088" t="str">
            <v>Начисление на оплату труда</v>
          </cell>
          <cell r="B1088" t="str">
            <v>905</v>
          </cell>
          <cell r="C1088" t="str">
            <v>08</v>
          </cell>
          <cell r="D1088" t="str">
            <v>01</v>
          </cell>
          <cell r="E1088" t="str">
            <v>440 99 00</v>
          </cell>
          <cell r="F1088" t="str">
            <v>001</v>
          </cell>
        </row>
        <row r="1089">
          <cell r="A1089" t="str">
            <v>Приобретение услуг</v>
          </cell>
          <cell r="B1089" t="str">
            <v>905</v>
          </cell>
          <cell r="C1089" t="str">
            <v>08</v>
          </cell>
          <cell r="D1089" t="str">
            <v>01</v>
          </cell>
          <cell r="E1089" t="str">
            <v>440 99 00</v>
          </cell>
          <cell r="F1089" t="str">
            <v>001</v>
          </cell>
        </row>
        <row r="1090">
          <cell r="A1090" t="str">
            <v>Услуги связи </v>
          </cell>
          <cell r="B1090" t="str">
            <v>905</v>
          </cell>
          <cell r="C1090" t="str">
            <v>08</v>
          </cell>
          <cell r="D1090" t="str">
            <v>01</v>
          </cell>
          <cell r="E1090" t="str">
            <v>440 99 00</v>
          </cell>
          <cell r="F1090" t="str">
            <v>001</v>
          </cell>
        </row>
        <row r="1091">
          <cell r="A1091" t="str">
            <v>Транспортные услуги</v>
          </cell>
          <cell r="B1091" t="str">
            <v>905</v>
          </cell>
          <cell r="C1091" t="str">
            <v>08</v>
          </cell>
          <cell r="D1091" t="str">
            <v>01</v>
          </cell>
          <cell r="E1091" t="str">
            <v>440 99 00</v>
          </cell>
          <cell r="F1091" t="str">
            <v>001</v>
          </cell>
        </row>
        <row r="1092">
          <cell r="A1092" t="str">
            <v>Коммунальные услуги</v>
          </cell>
          <cell r="B1092" t="str">
            <v>905</v>
          </cell>
          <cell r="C1092" t="str">
            <v>08</v>
          </cell>
          <cell r="D1092" t="str">
            <v>01</v>
          </cell>
          <cell r="E1092" t="str">
            <v>440 99 00</v>
          </cell>
          <cell r="F1092" t="str">
            <v>001</v>
          </cell>
        </row>
        <row r="1093">
          <cell r="A1093" t="str">
            <v>Арендная плата за пользование иммуществом </v>
          </cell>
          <cell r="B1093" t="str">
            <v>905</v>
          </cell>
          <cell r="C1093" t="str">
            <v>08</v>
          </cell>
          <cell r="D1093" t="str">
            <v>01</v>
          </cell>
          <cell r="E1093" t="str">
            <v>440 99 00</v>
          </cell>
          <cell r="F1093" t="str">
            <v>001</v>
          </cell>
        </row>
        <row r="1094">
          <cell r="A1094" t="str">
            <v>Услуги по содержанию имущества</v>
          </cell>
          <cell r="B1094" t="str">
            <v>905</v>
          </cell>
          <cell r="C1094" t="str">
            <v>08</v>
          </cell>
          <cell r="D1094" t="str">
            <v>01</v>
          </cell>
          <cell r="E1094" t="str">
            <v>440 99 00</v>
          </cell>
          <cell r="F1094" t="str">
            <v>001</v>
          </cell>
        </row>
        <row r="1095">
          <cell r="A1095" t="str">
            <v>Услуги по содержанию имущества 8,40,00</v>
          </cell>
          <cell r="B1095" t="str">
            <v>905</v>
          </cell>
          <cell r="C1095" t="str">
            <v>08</v>
          </cell>
          <cell r="D1095" t="str">
            <v>01</v>
          </cell>
          <cell r="E1095" t="str">
            <v>440 99 00</v>
          </cell>
          <cell r="F1095" t="str">
            <v>001</v>
          </cell>
        </row>
        <row r="1096">
          <cell r="A1096" t="str">
            <v>Услуги по содержанию имущества 8,40,01</v>
          </cell>
          <cell r="B1096" t="str">
            <v>905</v>
          </cell>
          <cell r="C1096" t="str">
            <v>08</v>
          </cell>
          <cell r="D1096" t="str">
            <v>01</v>
          </cell>
          <cell r="E1096" t="str">
            <v>440 99 00</v>
          </cell>
          <cell r="F1096" t="str">
            <v>001</v>
          </cell>
        </row>
        <row r="1097">
          <cell r="A1097" t="str">
            <v>Прочие услуги</v>
          </cell>
          <cell r="B1097" t="str">
            <v>905</v>
          </cell>
          <cell r="C1097" t="str">
            <v>08</v>
          </cell>
          <cell r="D1097" t="str">
            <v>01</v>
          </cell>
          <cell r="E1097" t="str">
            <v>440 99 00</v>
          </cell>
          <cell r="F1097" t="str">
            <v>001</v>
          </cell>
        </row>
        <row r="1098">
          <cell r="A1098" t="str">
            <v>Прочие расходы </v>
          </cell>
          <cell r="B1098" t="str">
            <v>905</v>
          </cell>
          <cell r="C1098" t="str">
            <v>08</v>
          </cell>
          <cell r="D1098" t="str">
            <v>01</v>
          </cell>
          <cell r="E1098" t="str">
            <v>440 99 00</v>
          </cell>
          <cell r="F1098" t="str">
            <v>001</v>
          </cell>
        </row>
        <row r="1099">
          <cell r="A1099" t="str">
            <v>Поступление нефинансовых активов</v>
          </cell>
          <cell r="B1099" t="str">
            <v>905</v>
          </cell>
          <cell r="C1099" t="str">
            <v>08</v>
          </cell>
          <cell r="D1099" t="str">
            <v>01</v>
          </cell>
          <cell r="E1099" t="str">
            <v>440 99 00</v>
          </cell>
          <cell r="F1099" t="str">
            <v>001</v>
          </cell>
        </row>
        <row r="1100">
          <cell r="A1100" t="str">
            <v>Увеличение стоимости основных средств</v>
          </cell>
          <cell r="B1100" t="str">
            <v>905</v>
          </cell>
          <cell r="C1100" t="str">
            <v>08</v>
          </cell>
          <cell r="D1100" t="str">
            <v>01</v>
          </cell>
          <cell r="E1100" t="str">
            <v>440 99 00</v>
          </cell>
          <cell r="F1100" t="str">
            <v>001</v>
          </cell>
        </row>
        <row r="1101">
          <cell r="A1101" t="str">
            <v>Увеличение стоимости материальных запасов</v>
          </cell>
          <cell r="B1101" t="str">
            <v>905</v>
          </cell>
          <cell r="C1101" t="str">
            <v>08</v>
          </cell>
          <cell r="D1101" t="str">
            <v>01</v>
          </cell>
          <cell r="E1101" t="str">
            <v>440 99 00</v>
          </cell>
          <cell r="F1101" t="str">
            <v>001</v>
          </cell>
        </row>
        <row r="1102">
          <cell r="A1102" t="str">
            <v>Увеличение стоимости материальных запасов 8,40,01</v>
          </cell>
          <cell r="B1102" t="str">
            <v>905</v>
          </cell>
          <cell r="C1102" t="str">
            <v>08</v>
          </cell>
          <cell r="D1102" t="str">
            <v>01</v>
          </cell>
          <cell r="E1102" t="str">
            <v>441 99 00</v>
          </cell>
          <cell r="F1102" t="str">
            <v>001</v>
          </cell>
        </row>
        <row r="1103">
          <cell r="A1103" t="str">
            <v>8,40,02</v>
          </cell>
          <cell r="B1103" t="str">
            <v>905</v>
          </cell>
          <cell r="C1103" t="str">
            <v>08</v>
          </cell>
          <cell r="D1103" t="str">
            <v>01</v>
          </cell>
          <cell r="E1103" t="str">
            <v>440 99 00</v>
          </cell>
          <cell r="F1103" t="str">
            <v>001</v>
          </cell>
        </row>
        <row r="1104">
          <cell r="A1104" t="str">
            <v>Долгосрочная целевая программа Иркутской области «100 модельных домов культуры Приангарью» на 2011-2014 годы</v>
          </cell>
          <cell r="B1104" t="str">
            <v>905</v>
          </cell>
          <cell r="C1104" t="str">
            <v>08</v>
          </cell>
          <cell r="D1104" t="str">
            <v>01</v>
          </cell>
          <cell r="E1104" t="str">
            <v>522 55 00</v>
          </cell>
          <cell r="F1104" t="str">
            <v>000</v>
          </cell>
        </row>
        <row r="1105">
          <cell r="A1105" t="str">
            <v>Выполнение функций бюджетными учреждениями ОБ</v>
          </cell>
          <cell r="B1105" t="str">
            <v>905</v>
          </cell>
          <cell r="C1105" t="str">
            <v>08</v>
          </cell>
          <cell r="D1105" t="str">
            <v>01</v>
          </cell>
          <cell r="E1105" t="str">
            <v>522 55 00</v>
          </cell>
          <cell r="F1105" t="str">
            <v>010</v>
          </cell>
        </row>
        <row r="1106">
          <cell r="A1106" t="str">
            <v>Софинансирование программы "100 модельных домов культуры Приангарью" (Доп.ЭК 8.70.08.00)</v>
          </cell>
          <cell r="B1106" t="str">
            <v>905</v>
          </cell>
          <cell r="C1106" t="str">
            <v>08</v>
          </cell>
          <cell r="D1106" t="str">
            <v>01</v>
          </cell>
          <cell r="E1106" t="str">
            <v>440 99 00</v>
          </cell>
          <cell r="F1106" t="str">
            <v>019</v>
          </cell>
        </row>
        <row r="1107">
          <cell r="A1107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107" t="str">
            <v>905</v>
          </cell>
          <cell r="C1107" t="str">
            <v>08</v>
          </cell>
          <cell r="D1107" t="str">
            <v>01</v>
          </cell>
          <cell r="E1107" t="str">
            <v>590 00 00</v>
          </cell>
          <cell r="F1107" t="str">
            <v>000</v>
          </cell>
        </row>
        <row r="1108">
          <cell r="A1108" t="str">
            <v>Субсидии некоммерческим организациям</v>
          </cell>
          <cell r="B1108" t="str">
            <v>905</v>
          </cell>
          <cell r="C1108" t="str">
            <v>08</v>
          </cell>
          <cell r="D1108" t="str">
            <v>01</v>
          </cell>
          <cell r="E1108" t="str">
            <v>590 00 00</v>
          </cell>
          <cell r="F1108" t="str">
            <v>019</v>
          </cell>
        </row>
        <row r="1109">
          <cell r="A1109" t="str">
            <v>Библиотеки</v>
          </cell>
          <cell r="B1109" t="str">
            <v>905</v>
          </cell>
          <cell r="C1109" t="str">
            <v>08</v>
          </cell>
          <cell r="D1109" t="str">
            <v>01</v>
          </cell>
          <cell r="E1109" t="str">
            <v>442 00 00</v>
          </cell>
          <cell r="F1109" t="str">
            <v>000</v>
          </cell>
        </row>
        <row r="1110">
          <cell r="A1110" t="str">
            <v>Обеспечение деятельности подведомственных учреждений</v>
          </cell>
          <cell r="B1110" t="str">
            <v>905</v>
          </cell>
          <cell r="C1110" t="str">
            <v>08</v>
          </cell>
          <cell r="D1110" t="str">
            <v>01</v>
          </cell>
          <cell r="E1110" t="str">
            <v>442 99 00</v>
          </cell>
          <cell r="F1110" t="str">
            <v>000</v>
          </cell>
        </row>
        <row r="1111">
          <cell r="A1111" t="str">
            <v>Субсидии некоммерческим организациям</v>
          </cell>
          <cell r="B1111" t="str">
            <v>905</v>
          </cell>
          <cell r="C1111" t="str">
            <v>08</v>
          </cell>
          <cell r="D1111" t="str">
            <v>01</v>
          </cell>
          <cell r="E1111" t="str">
            <v>442 99 00</v>
          </cell>
          <cell r="F1111" t="str">
            <v>019</v>
          </cell>
        </row>
        <row r="1112">
          <cell r="A1112" t="str">
            <v>Расходы</v>
          </cell>
          <cell r="B1112" t="str">
            <v>905</v>
          </cell>
          <cell r="C1112" t="str">
            <v>08</v>
          </cell>
          <cell r="D1112" t="str">
            <v>01</v>
          </cell>
          <cell r="E1112" t="str">
            <v>442 99 00</v>
          </cell>
          <cell r="F1112" t="str">
            <v>001</v>
          </cell>
        </row>
        <row r="1113">
          <cell r="A1113" t="str">
            <v>Оплата труда и начисления на оплату труда</v>
          </cell>
          <cell r="B1113" t="str">
            <v>905</v>
          </cell>
          <cell r="C1113" t="str">
            <v>08</v>
          </cell>
          <cell r="D1113" t="str">
            <v>01</v>
          </cell>
          <cell r="E1113" t="str">
            <v>442 99 00</v>
          </cell>
          <cell r="F1113" t="str">
            <v>001</v>
          </cell>
        </row>
        <row r="1114">
          <cell r="A1114" t="str">
            <v>Заработная плата</v>
          </cell>
          <cell r="B1114" t="str">
            <v>905</v>
          </cell>
          <cell r="C1114" t="str">
            <v>08</v>
          </cell>
          <cell r="D1114" t="str">
            <v>01</v>
          </cell>
          <cell r="E1114" t="str">
            <v>442 99 00</v>
          </cell>
          <cell r="F1114" t="str">
            <v>001</v>
          </cell>
        </row>
        <row r="1115">
          <cell r="A1115" t="str">
            <v>Прочие выплаты</v>
          </cell>
          <cell r="B1115" t="str">
            <v>905</v>
          </cell>
          <cell r="C1115" t="str">
            <v>08</v>
          </cell>
          <cell r="D1115" t="str">
            <v>01</v>
          </cell>
          <cell r="E1115" t="str">
            <v>442 99 00</v>
          </cell>
          <cell r="F1115" t="str">
            <v>001</v>
          </cell>
        </row>
        <row r="1116">
          <cell r="A1116" t="str">
            <v>Начисление на оплату труда</v>
          </cell>
          <cell r="B1116" t="str">
            <v>905</v>
          </cell>
          <cell r="C1116" t="str">
            <v>08</v>
          </cell>
          <cell r="D1116" t="str">
            <v>01</v>
          </cell>
          <cell r="E1116" t="str">
            <v>442 99 00</v>
          </cell>
          <cell r="F1116" t="str">
            <v>001</v>
          </cell>
        </row>
        <row r="1117">
          <cell r="A1117" t="str">
            <v>Приобретение услуг</v>
          </cell>
          <cell r="B1117" t="str">
            <v>905</v>
          </cell>
          <cell r="C1117" t="str">
            <v>08</v>
          </cell>
          <cell r="D1117" t="str">
            <v>01</v>
          </cell>
          <cell r="E1117" t="str">
            <v>442 99 00</v>
          </cell>
          <cell r="F1117" t="str">
            <v>001</v>
          </cell>
        </row>
        <row r="1118">
          <cell r="A1118" t="str">
            <v>Услуги связи </v>
          </cell>
          <cell r="B1118" t="str">
            <v>905</v>
          </cell>
          <cell r="C1118" t="str">
            <v>08</v>
          </cell>
          <cell r="D1118" t="str">
            <v>01</v>
          </cell>
          <cell r="E1118" t="str">
            <v>442 99 00</v>
          </cell>
          <cell r="F1118" t="str">
            <v>001</v>
          </cell>
        </row>
        <row r="1119">
          <cell r="A1119" t="str">
            <v>Транспортные услуги</v>
          </cell>
          <cell r="B1119" t="str">
            <v>905</v>
          </cell>
          <cell r="C1119" t="str">
            <v>08</v>
          </cell>
          <cell r="D1119" t="str">
            <v>01</v>
          </cell>
          <cell r="E1119" t="str">
            <v>442 99 00</v>
          </cell>
          <cell r="F1119" t="str">
            <v>001</v>
          </cell>
        </row>
        <row r="1120">
          <cell r="A1120" t="str">
            <v>Коммунальные услуги</v>
          </cell>
          <cell r="B1120" t="str">
            <v>905</v>
          </cell>
          <cell r="C1120" t="str">
            <v>08</v>
          </cell>
          <cell r="D1120" t="str">
            <v>01</v>
          </cell>
          <cell r="E1120" t="str">
            <v>442 99 00</v>
          </cell>
          <cell r="F1120" t="str">
            <v>001</v>
          </cell>
        </row>
        <row r="1121">
          <cell r="A1121" t="str">
            <v>Арендная плата за пользование иммуществом </v>
          </cell>
          <cell r="B1121" t="str">
            <v>905</v>
          </cell>
          <cell r="C1121" t="str">
            <v>08</v>
          </cell>
          <cell r="D1121" t="str">
            <v>01</v>
          </cell>
          <cell r="E1121" t="str">
            <v>442 99 00</v>
          </cell>
          <cell r="F1121" t="str">
            <v>001</v>
          </cell>
        </row>
        <row r="1122">
          <cell r="A1122" t="str">
            <v>Услуги по содержанию иммущества</v>
          </cell>
          <cell r="B1122" t="str">
            <v>905</v>
          </cell>
          <cell r="C1122" t="str">
            <v>08</v>
          </cell>
          <cell r="D1122" t="str">
            <v>01</v>
          </cell>
          <cell r="E1122" t="str">
            <v>442 99 00</v>
          </cell>
          <cell r="F1122" t="str">
            <v>001</v>
          </cell>
        </row>
        <row r="1123">
          <cell r="A1123" t="str">
            <v>Услуги по содержанию иммущества 8,40,00</v>
          </cell>
          <cell r="B1123" t="str">
            <v>905</v>
          </cell>
          <cell r="C1123" t="str">
            <v>08</v>
          </cell>
          <cell r="D1123" t="str">
            <v>01</v>
          </cell>
          <cell r="E1123" t="str">
            <v>442 99 00</v>
          </cell>
          <cell r="F1123" t="str">
            <v>001</v>
          </cell>
        </row>
        <row r="1124">
          <cell r="A1124" t="str">
            <v>Услуги по содержанию иммущества 8,40,01</v>
          </cell>
          <cell r="B1124" t="str">
            <v>905</v>
          </cell>
          <cell r="C1124" t="str">
            <v>08</v>
          </cell>
          <cell r="D1124" t="str">
            <v>01</v>
          </cell>
          <cell r="E1124" t="str">
            <v>442 99 00</v>
          </cell>
          <cell r="F1124" t="str">
            <v>001</v>
          </cell>
        </row>
        <row r="1125">
          <cell r="A1125" t="str">
            <v>Прочие услуги</v>
          </cell>
          <cell r="B1125" t="str">
            <v>905</v>
          </cell>
          <cell r="C1125" t="str">
            <v>08</v>
          </cell>
          <cell r="D1125" t="str">
            <v>01</v>
          </cell>
          <cell r="E1125" t="str">
            <v>442 99 00</v>
          </cell>
          <cell r="F1125" t="str">
            <v>001</v>
          </cell>
        </row>
        <row r="1126">
          <cell r="A1126" t="str">
            <v>Прочие расходы </v>
          </cell>
          <cell r="B1126" t="str">
            <v>905</v>
          </cell>
          <cell r="C1126" t="str">
            <v>08</v>
          </cell>
          <cell r="D1126" t="str">
            <v>01</v>
          </cell>
          <cell r="E1126" t="str">
            <v>442 99 00</v>
          </cell>
          <cell r="F1126" t="str">
            <v>001</v>
          </cell>
        </row>
        <row r="1127">
          <cell r="A1127" t="str">
            <v>Поступление нефинансовых активов</v>
          </cell>
          <cell r="B1127" t="str">
            <v>905</v>
          </cell>
          <cell r="C1127" t="str">
            <v>08</v>
          </cell>
          <cell r="D1127" t="str">
            <v>01</v>
          </cell>
          <cell r="E1127" t="str">
            <v>442 99 00</v>
          </cell>
          <cell r="F1127" t="str">
            <v>001</v>
          </cell>
        </row>
        <row r="1128">
          <cell r="A1128" t="str">
            <v>Увеличение стоимости основных средств</v>
          </cell>
          <cell r="B1128" t="str">
            <v>905</v>
          </cell>
          <cell r="C1128" t="str">
            <v>08</v>
          </cell>
          <cell r="D1128" t="str">
            <v>01</v>
          </cell>
          <cell r="E1128" t="str">
            <v>442 99 00</v>
          </cell>
          <cell r="F1128" t="str">
            <v>001</v>
          </cell>
        </row>
        <row r="1129">
          <cell r="A1129" t="str">
            <v>Увеличение стоимости материальных запасов</v>
          </cell>
          <cell r="B1129" t="str">
            <v>905</v>
          </cell>
          <cell r="C1129" t="str">
            <v>08</v>
          </cell>
          <cell r="D1129" t="str">
            <v>01</v>
          </cell>
          <cell r="E1129" t="str">
            <v>442 99 00</v>
          </cell>
          <cell r="F1129" t="str">
            <v>001</v>
          </cell>
        </row>
        <row r="1130">
          <cell r="A1130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130" t="str">
            <v>905</v>
          </cell>
          <cell r="C1130" t="str">
            <v>08</v>
          </cell>
          <cell r="D1130" t="str">
            <v>01</v>
          </cell>
          <cell r="E1130" t="str">
            <v>590 00 00</v>
          </cell>
          <cell r="F1130" t="str">
            <v>000</v>
          </cell>
        </row>
        <row r="1131">
          <cell r="A1131" t="str">
            <v>Субсидии некоммерческим организациям</v>
          </cell>
          <cell r="B1131" t="str">
            <v>905</v>
          </cell>
          <cell r="C1131" t="str">
            <v>08</v>
          </cell>
          <cell r="D1131" t="str">
            <v>01</v>
          </cell>
          <cell r="E1131" t="str">
            <v>590 00 00</v>
          </cell>
          <cell r="F1131" t="str">
            <v>019</v>
          </cell>
        </row>
        <row r="1132">
          <cell r="A1132" t="str">
            <v>Мероприятия в сфере культуры, кинематографии </v>
          </cell>
          <cell r="B1132" t="str">
            <v>905</v>
          </cell>
          <cell r="C1132" t="str">
            <v>08</v>
          </cell>
          <cell r="D1132" t="str">
            <v>01</v>
          </cell>
          <cell r="E1132" t="str">
            <v>440 00 00</v>
          </cell>
          <cell r="F1132" t="str">
            <v>000</v>
          </cell>
        </row>
        <row r="1133">
          <cell r="A1133" t="str">
            <v>Комплектование книжных фондов библиотек
муниципальных образований и государственных библиотек ФБ
городов Москвы и Санкт-Петербурга за счет средств федерального бюджета</v>
          </cell>
          <cell r="B1133" t="str">
            <v>905</v>
          </cell>
          <cell r="C1133" t="str">
            <v>08</v>
          </cell>
          <cell r="D1133" t="str">
            <v>01</v>
          </cell>
          <cell r="E1133" t="str">
            <v>440 02 01</v>
          </cell>
          <cell r="F1133" t="str">
            <v>000</v>
          </cell>
        </row>
        <row r="1134">
          <cell r="A1134" t="str">
            <v>Иные межбюджетные трансферты</v>
          </cell>
          <cell r="B1134" t="str">
            <v>905</v>
          </cell>
          <cell r="C1134" t="str">
            <v>08</v>
          </cell>
          <cell r="D1134" t="str">
            <v>01</v>
          </cell>
          <cell r="E1134" t="str">
            <v>440 02 01</v>
          </cell>
          <cell r="F1134" t="str">
            <v>017</v>
          </cell>
        </row>
        <row r="1135">
          <cell r="A1135" t="str">
            <v>Поступление нефинансовых активов</v>
          </cell>
          <cell r="B1135">
            <v>905</v>
          </cell>
          <cell r="C1135" t="str">
            <v>08</v>
          </cell>
          <cell r="D1135" t="str">
            <v>01</v>
          </cell>
          <cell r="E1135" t="str">
            <v>440 02 01</v>
          </cell>
          <cell r="F1135" t="str">
            <v>001</v>
          </cell>
        </row>
        <row r="1136">
          <cell r="A1136" t="str">
            <v>Увеличение стоимости основных средств</v>
          </cell>
          <cell r="B1136">
            <v>905</v>
          </cell>
          <cell r="C1136" t="str">
            <v>08</v>
          </cell>
          <cell r="D1136" t="str">
            <v>01</v>
          </cell>
          <cell r="E1136" t="str">
            <v>440 02 01</v>
          </cell>
          <cell r="F1136" t="str">
            <v>001</v>
          </cell>
        </row>
        <row r="1137">
          <cell r="A1137" t="str">
            <v>Увеличение стоимости материальных запасов</v>
          </cell>
          <cell r="B1137">
            <v>905</v>
          </cell>
          <cell r="C1137" t="str">
            <v>08</v>
          </cell>
          <cell r="D1137" t="str">
            <v>01</v>
          </cell>
          <cell r="E1137" t="str">
            <v>440 02 01</v>
          </cell>
          <cell r="F1137" t="str">
            <v>001</v>
          </cell>
        </row>
        <row r="1138">
          <cell r="A1138" t="str">
            <v>Государственная поддержка в сфере культуры, кинематографии и средств массовой информации</v>
          </cell>
          <cell r="B1138" t="str">
            <v>905</v>
          </cell>
          <cell r="C1138" t="str">
            <v>08</v>
          </cell>
          <cell r="D1138" t="str">
            <v>01</v>
          </cell>
          <cell r="E1138" t="str">
            <v>440 02 01</v>
          </cell>
          <cell r="F1138" t="str">
            <v>000</v>
          </cell>
        </row>
        <row r="1139">
          <cell r="A1139" t="str">
            <v>Выполнение функций бюджетными учреждениями</v>
          </cell>
          <cell r="B1139" t="str">
            <v>905</v>
          </cell>
          <cell r="C1139" t="str">
            <v>08</v>
          </cell>
          <cell r="D1139" t="str">
            <v>01</v>
          </cell>
          <cell r="E1139" t="str">
            <v>440 02 01</v>
          </cell>
          <cell r="F1139" t="str">
            <v>001</v>
          </cell>
        </row>
        <row r="1140">
          <cell r="A1140" t="str">
            <v>Расходы</v>
          </cell>
          <cell r="B1140" t="str">
            <v>905</v>
          </cell>
          <cell r="C1140" t="str">
            <v>08</v>
          </cell>
          <cell r="D1140" t="str">
            <v>01</v>
          </cell>
          <cell r="E1140" t="str">
            <v>440 02 01</v>
          </cell>
          <cell r="F1140" t="str">
            <v>001</v>
          </cell>
        </row>
        <row r="1141">
          <cell r="A1141" t="str">
            <v>Приобретение услуг</v>
          </cell>
          <cell r="B1141" t="str">
            <v>905</v>
          </cell>
          <cell r="C1141" t="str">
            <v>08</v>
          </cell>
          <cell r="D1141" t="str">
            <v>01</v>
          </cell>
          <cell r="E1141" t="str">
            <v>440 02 01</v>
          </cell>
          <cell r="F1141" t="str">
            <v>001</v>
          </cell>
        </row>
        <row r="1142">
          <cell r="A1142" t="str">
            <v>Услуги по содержанию иммущества</v>
          </cell>
          <cell r="B1142" t="str">
            <v>905</v>
          </cell>
          <cell r="C1142" t="str">
            <v>08</v>
          </cell>
          <cell r="D1142" t="str">
            <v>01</v>
          </cell>
          <cell r="E1142" t="str">
            <v>440 02 01</v>
          </cell>
          <cell r="F1142" t="str">
            <v>001</v>
          </cell>
        </row>
        <row r="1143">
          <cell r="A1143" t="str">
            <v>Прочие услуги </v>
          </cell>
          <cell r="B1143" t="str">
            <v>905</v>
          </cell>
          <cell r="C1143" t="str">
            <v>08</v>
          </cell>
          <cell r="D1143" t="str">
            <v>01</v>
          </cell>
          <cell r="E1143" t="str">
            <v>440 02 01</v>
          </cell>
          <cell r="F1143" t="str">
            <v>001</v>
          </cell>
        </row>
        <row r="1144">
          <cell r="A1144" t="str">
            <v>Поступление нефинансовых активов</v>
          </cell>
          <cell r="B1144" t="str">
            <v>905</v>
          </cell>
          <cell r="C1144" t="str">
            <v>08</v>
          </cell>
          <cell r="D1144" t="str">
            <v>01</v>
          </cell>
          <cell r="E1144" t="str">
            <v>440 02 01</v>
          </cell>
          <cell r="F1144" t="str">
            <v>001</v>
          </cell>
        </row>
        <row r="1145">
          <cell r="A1145" t="str">
            <v>Увеличение стоимости основных средств</v>
          </cell>
          <cell r="B1145" t="str">
            <v>905</v>
          </cell>
          <cell r="C1145" t="str">
            <v>08</v>
          </cell>
          <cell r="D1145" t="str">
            <v>01</v>
          </cell>
          <cell r="E1145" t="str">
            <v>440 02 01</v>
          </cell>
          <cell r="F1145" t="str">
            <v>001</v>
          </cell>
        </row>
        <row r="1146">
          <cell r="A1146" t="str">
            <v>Увеличение стоимости материальных запасов</v>
          </cell>
          <cell r="B1146" t="str">
            <v>905</v>
          </cell>
          <cell r="C1146" t="str">
            <v>08</v>
          </cell>
          <cell r="D1146" t="str">
            <v>01</v>
          </cell>
          <cell r="E1146" t="str">
            <v>440 02 01</v>
          </cell>
          <cell r="F1146" t="str">
            <v>001</v>
          </cell>
        </row>
        <row r="1147">
          <cell r="A1147" t="str">
            <v>Учебно-методические кабинеты, центральные бухгалтерии, группы хоз.обслуживания, учебные фильмотеки</v>
          </cell>
          <cell r="B1147" t="str">
            <v>905</v>
          </cell>
          <cell r="C1147" t="str">
            <v>08</v>
          </cell>
          <cell r="D1147" t="str">
            <v>01</v>
          </cell>
          <cell r="E1147" t="str">
            <v>440 02 01</v>
          </cell>
          <cell r="F1147" t="str">
            <v>000</v>
          </cell>
        </row>
        <row r="1148">
          <cell r="A1148" t="str">
            <v>Обеспечение деятельности подведомственных учреждений</v>
          </cell>
          <cell r="B1148" t="str">
            <v>905</v>
          </cell>
          <cell r="C1148" t="str">
            <v>08</v>
          </cell>
          <cell r="D1148" t="str">
            <v>01</v>
          </cell>
          <cell r="E1148" t="str">
            <v>440 02 01</v>
          </cell>
          <cell r="F1148" t="str">
            <v>327</v>
          </cell>
        </row>
        <row r="1149">
          <cell r="A1149" t="str">
            <v>Оплата труда и начисления на оплату труда</v>
          </cell>
          <cell r="B1149" t="str">
            <v>905</v>
          </cell>
          <cell r="C1149" t="str">
            <v>08</v>
          </cell>
          <cell r="D1149" t="str">
            <v>01</v>
          </cell>
          <cell r="E1149" t="str">
            <v>440 02 01</v>
          </cell>
          <cell r="F1149" t="str">
            <v>327</v>
          </cell>
        </row>
        <row r="1150">
          <cell r="A1150" t="str">
            <v>Заработная плата</v>
          </cell>
          <cell r="B1150" t="str">
            <v>905</v>
          </cell>
          <cell r="C1150" t="str">
            <v>08</v>
          </cell>
          <cell r="D1150" t="str">
            <v>01</v>
          </cell>
          <cell r="E1150" t="str">
            <v>440 02 01</v>
          </cell>
          <cell r="F1150" t="str">
            <v>327</v>
          </cell>
        </row>
        <row r="1151">
          <cell r="A1151" t="str">
            <v>Прочие выплаты</v>
          </cell>
          <cell r="B1151" t="str">
            <v>905</v>
          </cell>
          <cell r="C1151" t="str">
            <v>08</v>
          </cell>
          <cell r="D1151" t="str">
            <v>01</v>
          </cell>
          <cell r="E1151" t="str">
            <v>440 02 01</v>
          </cell>
          <cell r="F1151" t="str">
            <v>327</v>
          </cell>
        </row>
        <row r="1152">
          <cell r="A1152" t="str">
            <v>Начисление на оплату труда</v>
          </cell>
          <cell r="B1152" t="str">
            <v>905</v>
          </cell>
          <cell r="C1152" t="str">
            <v>08</v>
          </cell>
          <cell r="D1152" t="str">
            <v>01</v>
          </cell>
          <cell r="E1152" t="str">
            <v>440 02 01</v>
          </cell>
          <cell r="F1152" t="str">
            <v>327</v>
          </cell>
        </row>
        <row r="1153">
          <cell r="A1153" t="str">
            <v>Приобретение услуг</v>
          </cell>
          <cell r="B1153" t="str">
            <v>905</v>
          </cell>
          <cell r="C1153" t="str">
            <v>08</v>
          </cell>
          <cell r="D1153" t="str">
            <v>01</v>
          </cell>
          <cell r="E1153" t="str">
            <v>440 02 01</v>
          </cell>
          <cell r="F1153" t="str">
            <v>327</v>
          </cell>
        </row>
        <row r="1154">
          <cell r="A1154" t="str">
            <v>Услуги связи </v>
          </cell>
          <cell r="B1154" t="str">
            <v>905</v>
          </cell>
          <cell r="C1154" t="str">
            <v>08</v>
          </cell>
          <cell r="D1154" t="str">
            <v>01</v>
          </cell>
          <cell r="E1154" t="str">
            <v>440 02 01</v>
          </cell>
          <cell r="F1154" t="str">
            <v>327</v>
          </cell>
        </row>
        <row r="1155">
          <cell r="A1155" t="str">
            <v>Транспортные услуги</v>
          </cell>
          <cell r="B1155" t="str">
            <v>905</v>
          </cell>
          <cell r="C1155" t="str">
            <v>08</v>
          </cell>
          <cell r="D1155" t="str">
            <v>01</v>
          </cell>
          <cell r="E1155" t="str">
            <v>440 02 01</v>
          </cell>
          <cell r="F1155" t="str">
            <v>327</v>
          </cell>
        </row>
        <row r="1156">
          <cell r="A1156" t="str">
            <v>Коммунальные услуги</v>
          </cell>
          <cell r="B1156" t="str">
            <v>905</v>
          </cell>
          <cell r="C1156" t="str">
            <v>08</v>
          </cell>
          <cell r="D1156" t="str">
            <v>01</v>
          </cell>
          <cell r="E1156" t="str">
            <v>440 02 01</v>
          </cell>
          <cell r="F1156" t="str">
            <v>327</v>
          </cell>
        </row>
        <row r="1157">
          <cell r="A1157" t="str">
            <v>Арендная плата за пользование иммуществом </v>
          </cell>
          <cell r="B1157" t="str">
            <v>905</v>
          </cell>
          <cell r="C1157" t="str">
            <v>08</v>
          </cell>
          <cell r="D1157" t="str">
            <v>01</v>
          </cell>
          <cell r="E1157" t="str">
            <v>440 02 01</v>
          </cell>
          <cell r="F1157" t="str">
            <v>327</v>
          </cell>
        </row>
        <row r="1158">
          <cell r="A1158" t="str">
            <v>Услуги по содержанию иммущества</v>
          </cell>
          <cell r="B1158" t="str">
            <v>905</v>
          </cell>
          <cell r="C1158" t="str">
            <v>08</v>
          </cell>
          <cell r="D1158" t="str">
            <v>01</v>
          </cell>
          <cell r="E1158" t="str">
            <v>440 02 01</v>
          </cell>
          <cell r="F1158" t="str">
            <v>327</v>
          </cell>
        </row>
        <row r="1159">
          <cell r="A1159" t="str">
            <v>Прочие услуги</v>
          </cell>
          <cell r="B1159" t="str">
            <v>905</v>
          </cell>
          <cell r="C1159" t="str">
            <v>08</v>
          </cell>
          <cell r="D1159" t="str">
            <v>01</v>
          </cell>
          <cell r="E1159" t="str">
            <v>440 02 01</v>
          </cell>
          <cell r="F1159" t="str">
            <v>327</v>
          </cell>
        </row>
        <row r="1160">
          <cell r="A1160" t="str">
            <v>Прочие расходы </v>
          </cell>
          <cell r="B1160" t="str">
            <v>905</v>
          </cell>
          <cell r="C1160" t="str">
            <v>08</v>
          </cell>
          <cell r="D1160" t="str">
            <v>01</v>
          </cell>
          <cell r="E1160" t="str">
            <v>440 02 01</v>
          </cell>
          <cell r="F1160" t="str">
            <v>327</v>
          </cell>
        </row>
        <row r="1161">
          <cell r="A1161" t="str">
            <v>Поступление нефинансовых активов</v>
          </cell>
          <cell r="B1161" t="str">
            <v>905</v>
          </cell>
          <cell r="C1161" t="str">
            <v>08</v>
          </cell>
          <cell r="D1161" t="str">
            <v>01</v>
          </cell>
          <cell r="E1161" t="str">
            <v>440 02 01</v>
          </cell>
          <cell r="F1161" t="str">
            <v>327</v>
          </cell>
        </row>
        <row r="1162">
          <cell r="A1162" t="str">
            <v>Увеличение стоимости основных средств</v>
          </cell>
          <cell r="B1162" t="str">
            <v>905</v>
          </cell>
          <cell r="C1162" t="str">
            <v>08</v>
          </cell>
          <cell r="D1162" t="str">
            <v>01</v>
          </cell>
          <cell r="E1162" t="str">
            <v>440 02 01</v>
          </cell>
          <cell r="F1162" t="str">
            <v>327</v>
          </cell>
        </row>
        <row r="1163">
          <cell r="A1163" t="str">
            <v>Увеличение стоимости материальных запасов</v>
          </cell>
          <cell r="B1163" t="str">
            <v>905</v>
          </cell>
          <cell r="C1163" t="str">
            <v>08</v>
          </cell>
          <cell r="D1163" t="str">
            <v>01</v>
          </cell>
          <cell r="E1163" t="str">
            <v>440 02 01</v>
          </cell>
          <cell r="F1163" t="str">
            <v>327</v>
          </cell>
        </row>
        <row r="1164">
          <cell r="A1164" t="str">
            <v>Региональные целевые программы</v>
          </cell>
          <cell r="B1164" t="str">
            <v>905</v>
          </cell>
          <cell r="C1164" t="str">
            <v>08</v>
          </cell>
          <cell r="D1164" t="str">
            <v>01</v>
          </cell>
          <cell r="E1164" t="str">
            <v>440 02 01</v>
          </cell>
          <cell r="F1164" t="str">
            <v>000</v>
          </cell>
        </row>
        <row r="1165">
          <cell r="A1165" t="str">
            <v>Государственная поддержка в сфере культуры, кинематографии и средств массовой информации </v>
          </cell>
          <cell r="B1165" t="str">
            <v>905</v>
          </cell>
          <cell r="C1165" t="str">
            <v>08</v>
          </cell>
          <cell r="D1165" t="str">
            <v>01</v>
          </cell>
          <cell r="E1165" t="str">
            <v>440 02 01</v>
          </cell>
          <cell r="F1165" t="str">
            <v>453</v>
          </cell>
        </row>
        <row r="1166">
          <cell r="A1166" t="str">
            <v>Прочие расходы </v>
          </cell>
          <cell r="B1166" t="str">
            <v>905</v>
          </cell>
          <cell r="C1166" t="str">
            <v>08</v>
          </cell>
          <cell r="D1166" t="str">
            <v>01</v>
          </cell>
          <cell r="E1166" t="str">
            <v>440 02 01</v>
          </cell>
          <cell r="F1166" t="str">
            <v>453</v>
          </cell>
        </row>
        <row r="1167">
          <cell r="A1167" t="str">
            <v>Телевидение и радиовещание</v>
          </cell>
          <cell r="B1167" t="str">
            <v>905</v>
          </cell>
          <cell r="C1167" t="str">
            <v>08</v>
          </cell>
          <cell r="D1167" t="str">
            <v>03</v>
          </cell>
          <cell r="E1167" t="str">
            <v>440 02 01</v>
          </cell>
          <cell r="F1167" t="str">
            <v>000</v>
          </cell>
        </row>
        <row r="1168">
          <cell r="A1168" t="str">
            <v>Мероприятия в сфере культуры, кинематографиии средств массовой информации </v>
          </cell>
          <cell r="B1168" t="str">
            <v>905</v>
          </cell>
          <cell r="C1168" t="str">
            <v>08</v>
          </cell>
          <cell r="D1168" t="str">
            <v>03</v>
          </cell>
          <cell r="E1168" t="str">
            <v>440 02 01</v>
          </cell>
          <cell r="F1168" t="str">
            <v>000</v>
          </cell>
        </row>
        <row r="1169">
          <cell r="A1169" t="str">
            <v>Государственная поддержка в сфере культуры, кинематографии и средств массовой информации </v>
          </cell>
          <cell r="B1169" t="str">
            <v>905</v>
          </cell>
          <cell r="C1169" t="str">
            <v>08</v>
          </cell>
          <cell r="D1169" t="str">
            <v>03</v>
          </cell>
          <cell r="E1169" t="str">
            <v>440 02 01</v>
          </cell>
          <cell r="F1169" t="str">
            <v>453</v>
          </cell>
        </row>
        <row r="1170">
          <cell r="A1170" t="str">
            <v>Прочие расходы </v>
          </cell>
          <cell r="B1170" t="str">
            <v>905</v>
          </cell>
          <cell r="C1170" t="str">
            <v>08</v>
          </cell>
          <cell r="D1170" t="str">
            <v>03</v>
          </cell>
          <cell r="E1170" t="str">
            <v>440 02 01</v>
          </cell>
          <cell r="F1170" t="str">
            <v>453</v>
          </cell>
        </row>
        <row r="1171">
          <cell r="A1171" t="str">
            <v>Периодическая печать  и издательства </v>
          </cell>
          <cell r="B1171" t="str">
            <v>905</v>
          </cell>
          <cell r="C1171" t="str">
            <v>08</v>
          </cell>
          <cell r="D1171" t="str">
            <v>04</v>
          </cell>
          <cell r="E1171" t="str">
            <v>440 02 01</v>
          </cell>
          <cell r="F1171" t="str">
            <v>000</v>
          </cell>
        </row>
        <row r="1172">
          <cell r="A1172" t="str">
            <v>Периодическая печать  </v>
          </cell>
          <cell r="B1172" t="str">
            <v>905</v>
          </cell>
          <cell r="C1172" t="str">
            <v>08</v>
          </cell>
          <cell r="D1172" t="str">
            <v>04</v>
          </cell>
          <cell r="E1172" t="str">
            <v>440 02 01</v>
          </cell>
          <cell r="F1172" t="str">
            <v>000</v>
          </cell>
        </row>
        <row r="1173">
          <cell r="A1173" t="str">
            <v>Государственная поддержка в сфере культуры, кинематографии и средств массовой информации </v>
          </cell>
          <cell r="B1173" t="str">
            <v>905</v>
          </cell>
          <cell r="C1173" t="str">
            <v>08</v>
          </cell>
          <cell r="D1173" t="str">
            <v>04</v>
          </cell>
          <cell r="E1173" t="str">
            <v>440 02 01</v>
          </cell>
          <cell r="F1173" t="str">
            <v>453</v>
          </cell>
        </row>
        <row r="1174">
          <cell r="A1174" t="str">
            <v>Безвозмездные и безвозвратные перечисления  организациям, за исключением государственных и муниципальных организаций </v>
          </cell>
          <cell r="B1174" t="str">
            <v>905</v>
          </cell>
          <cell r="C1174" t="str">
            <v>08</v>
          </cell>
          <cell r="D1174" t="str">
            <v>04</v>
          </cell>
          <cell r="E1174" t="str">
            <v>440 02 01</v>
          </cell>
          <cell r="F1174" t="str">
            <v>453</v>
          </cell>
        </row>
        <row r="1175">
          <cell r="A1175" t="str">
            <v>Софинансирование социальных программ субъектов Российской Федерации, связанных с предоставлением субсидий бюджетам субъектов Российской Федерации на социальные программы субъектов Российской Федерации, связанные с укреплением материально-технической базы </v>
          </cell>
          <cell r="B1175" t="str">
            <v>905</v>
          </cell>
          <cell r="C1175" t="str">
            <v>08</v>
          </cell>
          <cell r="D1175" t="str">
            <v>01</v>
          </cell>
          <cell r="E1175" t="str">
            <v>440 02 01</v>
          </cell>
          <cell r="F1175" t="str">
            <v>000</v>
          </cell>
        </row>
        <row r="1176">
          <cell r="A1176" t="str">
            <v>Субсидии в целях софинансирования расходных обязательств на создание условий для обеспечения поселений, входящих в состав муниципальных образований, услугами культуры</v>
          </cell>
          <cell r="B1176" t="str">
            <v>905</v>
          </cell>
          <cell r="C1176" t="str">
            <v>08</v>
          </cell>
          <cell r="D1176" t="str">
            <v>01</v>
          </cell>
          <cell r="E1176" t="str">
            <v>440 02 01</v>
          </cell>
          <cell r="F1176" t="str">
            <v>000</v>
          </cell>
        </row>
        <row r="1177">
          <cell r="A1177" t="str">
            <v>Выполнение функций бюджетными учреждениями</v>
          </cell>
          <cell r="B1177" t="str">
            <v>905</v>
          </cell>
          <cell r="C1177" t="str">
            <v>08</v>
          </cell>
          <cell r="D1177" t="str">
            <v>01</v>
          </cell>
          <cell r="E1177" t="str">
            <v>440 02 01</v>
          </cell>
          <cell r="F1177" t="str">
            <v>001</v>
          </cell>
        </row>
        <row r="1178">
          <cell r="A1178" t="str">
            <v>Расходы</v>
          </cell>
          <cell r="B1178" t="str">
            <v>905</v>
          </cell>
          <cell r="C1178" t="str">
            <v>08</v>
          </cell>
          <cell r="D1178" t="str">
            <v>01</v>
          </cell>
          <cell r="E1178" t="str">
            <v>440 02 01</v>
          </cell>
          <cell r="F1178" t="str">
            <v>001</v>
          </cell>
        </row>
        <row r="1179">
          <cell r="A1179" t="str">
            <v>Приобретение услуг</v>
          </cell>
          <cell r="B1179" t="str">
            <v>905</v>
          </cell>
          <cell r="C1179" t="str">
            <v>08</v>
          </cell>
          <cell r="D1179" t="str">
            <v>01</v>
          </cell>
          <cell r="E1179" t="str">
            <v>440 02 01</v>
          </cell>
          <cell r="F1179" t="str">
            <v>001</v>
          </cell>
        </row>
        <row r="1180">
          <cell r="A1180" t="str">
            <v>Транспортные услуги</v>
          </cell>
          <cell r="B1180" t="str">
            <v>905</v>
          </cell>
          <cell r="C1180" t="str">
            <v>08</v>
          </cell>
          <cell r="D1180" t="str">
            <v>01</v>
          </cell>
          <cell r="E1180" t="str">
            <v>440 02 01</v>
          </cell>
          <cell r="F1180" t="str">
            <v>001</v>
          </cell>
        </row>
        <row r="1181">
          <cell r="A1181" t="str">
            <v>Работы, услуги по содержанию имущества</v>
          </cell>
          <cell r="B1181" t="str">
            <v>905</v>
          </cell>
          <cell r="C1181" t="str">
            <v>08</v>
          </cell>
          <cell r="D1181" t="str">
            <v>01</v>
          </cell>
          <cell r="E1181" t="str">
            <v>440 02 01</v>
          </cell>
          <cell r="F1181" t="str">
            <v>001</v>
          </cell>
        </row>
        <row r="1182">
          <cell r="E1182" t="str">
            <v>440 02 01</v>
          </cell>
        </row>
        <row r="1183">
          <cell r="E1183" t="str">
            <v>440 02 01</v>
          </cell>
        </row>
        <row r="1184">
          <cell r="E1184" t="str">
            <v>440 02 01</v>
          </cell>
        </row>
        <row r="1185">
          <cell r="A1185" t="str">
            <v>Поступление нефинансовых активов</v>
          </cell>
          <cell r="B1185" t="str">
            <v>905</v>
          </cell>
          <cell r="C1185" t="str">
            <v>08</v>
          </cell>
          <cell r="D1185" t="str">
            <v>01</v>
          </cell>
          <cell r="E1185" t="str">
            <v>440 02 01</v>
          </cell>
          <cell r="F1185" t="str">
            <v>001</v>
          </cell>
        </row>
        <row r="1186">
          <cell r="A1186" t="str">
            <v>Увеличение стоимости основных средств</v>
          </cell>
          <cell r="B1186" t="str">
            <v>905</v>
          </cell>
          <cell r="C1186" t="str">
            <v>08</v>
          </cell>
          <cell r="D1186" t="str">
            <v>01</v>
          </cell>
          <cell r="E1186" t="str">
            <v>440 02 01</v>
          </cell>
          <cell r="F1186" t="str">
            <v>001</v>
          </cell>
        </row>
        <row r="1187">
          <cell r="A1187" t="str">
            <v>Увеличение стоимости материальных запасов</v>
          </cell>
          <cell r="B1187" t="str">
            <v>905</v>
          </cell>
          <cell r="C1187" t="str">
            <v>08</v>
          </cell>
          <cell r="D1187" t="str">
            <v>01</v>
          </cell>
          <cell r="E1187" t="str">
            <v>440 02 01</v>
          </cell>
          <cell r="F1187" t="str">
            <v>001</v>
          </cell>
        </row>
        <row r="1188">
          <cell r="A1188" t="str">
            <v>Целевые программы муниципальных образований "Обеспечение пожарной безопасности"</v>
          </cell>
          <cell r="B1188" t="str">
            <v>905</v>
          </cell>
          <cell r="C1188" t="str">
            <v>08</v>
          </cell>
          <cell r="D1188" t="str">
            <v>01</v>
          </cell>
          <cell r="E1188" t="str">
            <v>440 02 01</v>
          </cell>
          <cell r="F1188" t="str">
            <v>000</v>
          </cell>
        </row>
        <row r="1189">
          <cell r="A1189" t="str">
            <v>Выполнение функций органами местного самоуправления</v>
          </cell>
          <cell r="B1189" t="str">
            <v>905</v>
          </cell>
          <cell r="C1189" t="str">
            <v>08</v>
          </cell>
          <cell r="D1189" t="str">
            <v>01</v>
          </cell>
          <cell r="E1189" t="str">
            <v>440 02 01</v>
          </cell>
          <cell r="F1189" t="str">
            <v>500</v>
          </cell>
        </row>
        <row r="1190">
          <cell r="A1190" t="str">
            <v>Расходы</v>
          </cell>
          <cell r="B1190" t="str">
            <v>905</v>
          </cell>
          <cell r="C1190" t="str">
            <v>08</v>
          </cell>
          <cell r="D1190" t="str">
            <v>01</v>
          </cell>
          <cell r="E1190" t="str">
            <v>440 02 01</v>
          </cell>
          <cell r="F1190" t="str">
            <v>500</v>
          </cell>
        </row>
        <row r="1191">
          <cell r="A1191" t="str">
            <v>Приобретение услуг</v>
          </cell>
          <cell r="B1191" t="str">
            <v>905</v>
          </cell>
          <cell r="C1191" t="str">
            <v>08</v>
          </cell>
          <cell r="D1191" t="str">
            <v>01</v>
          </cell>
          <cell r="E1191" t="str">
            <v>440 02 01</v>
          </cell>
          <cell r="F1191" t="str">
            <v>500</v>
          </cell>
        </row>
        <row r="1192">
          <cell r="A1192" t="str">
            <v>Прочие услуги </v>
          </cell>
          <cell r="B1192" t="str">
            <v>905</v>
          </cell>
          <cell r="C1192" t="str">
            <v>08</v>
          </cell>
          <cell r="D1192" t="str">
            <v>01</v>
          </cell>
          <cell r="E1192" t="str">
            <v>440 02 01</v>
          </cell>
          <cell r="F1192" t="str">
            <v>500</v>
          </cell>
        </row>
        <row r="1193">
          <cell r="A1193" t="str">
            <v>Поступление нефинансовых активов</v>
          </cell>
          <cell r="B1193" t="str">
            <v>905</v>
          </cell>
          <cell r="C1193" t="str">
            <v>08</v>
          </cell>
          <cell r="D1193" t="str">
            <v>01</v>
          </cell>
          <cell r="E1193" t="str">
            <v>440 02 01</v>
          </cell>
          <cell r="F1193" t="str">
            <v>500</v>
          </cell>
        </row>
        <row r="1194">
          <cell r="A1194" t="str">
            <v>Увеличение стоимости основных средств</v>
          </cell>
          <cell r="B1194" t="str">
            <v>905</v>
          </cell>
          <cell r="C1194" t="str">
            <v>08</v>
          </cell>
          <cell r="D1194" t="str">
            <v>01</v>
          </cell>
          <cell r="E1194" t="str">
            <v>440 02 01</v>
          </cell>
          <cell r="F1194" t="str">
            <v>500</v>
          </cell>
        </row>
        <row r="1195">
          <cell r="A1195" t="str">
            <v>Комплектование книжных фондов библиотек
муниципальных образований и государственных библиотек ОБ
городов Москвы и Санкт-Петербурга за счет областного бюджета</v>
          </cell>
          <cell r="B1195">
            <v>905</v>
          </cell>
          <cell r="C1195" t="str">
            <v>08</v>
          </cell>
          <cell r="D1195" t="str">
            <v>01</v>
          </cell>
          <cell r="E1195" t="str">
            <v>440 02 02</v>
          </cell>
          <cell r="F1195" t="str">
            <v>000</v>
          </cell>
        </row>
        <row r="1196">
          <cell r="A1196" t="str">
            <v>Иные межбюджетные трансферты</v>
          </cell>
          <cell r="B1196">
            <v>905</v>
          </cell>
          <cell r="C1196" t="str">
            <v>08</v>
          </cell>
          <cell r="D1196" t="str">
            <v>01</v>
          </cell>
          <cell r="E1196" t="str">
            <v>440 02 02</v>
          </cell>
          <cell r="F1196" t="str">
            <v>017</v>
          </cell>
        </row>
        <row r="1197">
          <cell r="A1197" t="str">
            <v>Увеличение стоимости основных средств</v>
          </cell>
          <cell r="B1197">
            <v>905</v>
          </cell>
          <cell r="C1197" t="str">
            <v>08</v>
          </cell>
          <cell r="D1197" t="str">
            <v>01</v>
          </cell>
          <cell r="E1197" t="str">
            <v>440 02 02</v>
          </cell>
          <cell r="F1197" t="str">
            <v>001</v>
          </cell>
        </row>
        <row r="1198">
          <cell r="A1198" t="str">
            <v>Комплектование книжных фондов библиотек
муниципальных образований и государственных библиотек МБ
городов Москвы и Санкт-Петербурга за счет областного бюджета</v>
          </cell>
          <cell r="B1198">
            <v>905</v>
          </cell>
          <cell r="C1198" t="str">
            <v>08</v>
          </cell>
          <cell r="D1198" t="str">
            <v>01</v>
          </cell>
          <cell r="E1198" t="str">
            <v>440 02 03</v>
          </cell>
          <cell r="F1198" t="str">
            <v>000</v>
          </cell>
        </row>
        <row r="1199">
          <cell r="A1199" t="str">
            <v>Иные межбюджетные трансферты</v>
          </cell>
          <cell r="B1199">
            <v>905</v>
          </cell>
          <cell r="C1199" t="str">
            <v>08</v>
          </cell>
          <cell r="D1199" t="str">
            <v>01</v>
          </cell>
          <cell r="E1199" t="str">
            <v>440 02 03</v>
          </cell>
          <cell r="F1199" t="str">
            <v>017</v>
          </cell>
        </row>
        <row r="1200">
          <cell r="A1200" t="str">
            <v>Увеличение стоимости основных средств</v>
          </cell>
          <cell r="B1200">
            <v>905</v>
          </cell>
          <cell r="C1200" t="str">
            <v>08</v>
          </cell>
          <cell r="D1200" t="str">
            <v>01</v>
          </cell>
          <cell r="E1200" t="str">
            <v>440 02 03</v>
          </cell>
          <cell r="F1200" t="str">
            <v>001</v>
          </cell>
        </row>
        <row r="1201">
          <cell r="A1201" t="str">
            <v>Долгосрочная целевая программа Иркутской области "50 модельных домов культуры Приангарью" на 2011-2013 годы</v>
          </cell>
          <cell r="B1201">
            <v>905</v>
          </cell>
          <cell r="C1201" t="str">
            <v>08</v>
          </cell>
          <cell r="D1201" t="str">
            <v>01</v>
          </cell>
          <cell r="E1201" t="str">
            <v>522 55 00</v>
          </cell>
          <cell r="F1201" t="str">
            <v>000</v>
          </cell>
        </row>
        <row r="1202">
          <cell r="A1202" t="str">
            <v>Фонд софинансирования</v>
          </cell>
          <cell r="B1202">
            <v>905</v>
          </cell>
          <cell r="C1202" t="str">
            <v>08</v>
          </cell>
          <cell r="D1202" t="str">
            <v>01</v>
          </cell>
          <cell r="E1202" t="str">
            <v>522 55 00</v>
          </cell>
          <cell r="F1202" t="str">
            <v>010</v>
          </cell>
        </row>
        <row r="1203">
          <cell r="A1203" t="str">
            <v>Расходы</v>
          </cell>
          <cell r="B1203">
            <v>905</v>
          </cell>
          <cell r="C1203" t="str">
            <v>08</v>
          </cell>
          <cell r="D1203" t="str">
            <v>01</v>
          </cell>
          <cell r="E1203" t="str">
            <v>522 55 00</v>
          </cell>
          <cell r="F1203" t="str">
            <v>010</v>
          </cell>
        </row>
        <row r="1204">
          <cell r="A1204" t="str">
            <v>Приобретение услуг</v>
          </cell>
          <cell r="B1204">
            <v>905</v>
          </cell>
          <cell r="C1204" t="str">
            <v>08</v>
          </cell>
          <cell r="D1204" t="str">
            <v>01</v>
          </cell>
          <cell r="E1204" t="str">
            <v>522 55 00</v>
          </cell>
          <cell r="F1204" t="str">
            <v>010</v>
          </cell>
        </row>
        <row r="1205">
          <cell r="A1205" t="str">
            <v>Услуги по содержанию иммущества</v>
          </cell>
          <cell r="B1205">
            <v>905</v>
          </cell>
          <cell r="C1205" t="str">
            <v>08</v>
          </cell>
          <cell r="D1205" t="str">
            <v>01</v>
          </cell>
          <cell r="E1205" t="str">
            <v>522 55 00</v>
          </cell>
          <cell r="F1205" t="str">
            <v>010</v>
          </cell>
        </row>
        <row r="1207">
          <cell r="B1207">
            <v>905</v>
          </cell>
          <cell r="C1207" t="str">
            <v>08</v>
          </cell>
          <cell r="D1207" t="str">
            <v>01</v>
          </cell>
          <cell r="E1207" t="str">
            <v>522 55 00</v>
          </cell>
          <cell r="F1207" t="str">
            <v>010</v>
          </cell>
        </row>
        <row r="1208">
          <cell r="B1208">
            <v>905</v>
          </cell>
          <cell r="C1208" t="str">
            <v>08</v>
          </cell>
          <cell r="D1208" t="str">
            <v>01</v>
          </cell>
          <cell r="E1208" t="str">
            <v>522 55 00</v>
          </cell>
          <cell r="F1208" t="str">
            <v>010</v>
          </cell>
        </row>
        <row r="1209">
          <cell r="A1209" t="str">
            <v>Целевые программы муниципальных образований </v>
          </cell>
          <cell r="B1209" t="str">
            <v>905</v>
          </cell>
          <cell r="C1209" t="str">
            <v>08</v>
          </cell>
          <cell r="D1209" t="str">
            <v>01</v>
          </cell>
          <cell r="E1209" t="str">
            <v>795 00 00</v>
          </cell>
          <cell r="F1209" t="str">
            <v>000</v>
          </cell>
        </row>
        <row r="1210">
          <cell r="A1210" t="str">
            <v>Обеспечение пожарной безопасности  в учреждениях культуры  Усольского района на 2011-2013 гг</v>
          </cell>
          <cell r="B1210" t="str">
            <v>905</v>
          </cell>
          <cell r="C1210" t="str">
            <v>08</v>
          </cell>
          <cell r="D1210" t="str">
            <v>01</v>
          </cell>
          <cell r="E1210" t="str">
            <v>795 18 00</v>
          </cell>
          <cell r="F1210" t="str">
            <v>000</v>
          </cell>
        </row>
        <row r="1211">
          <cell r="A1211" t="str">
            <v>Выполнение функций органами местного самоуправления</v>
          </cell>
          <cell r="B1211" t="str">
            <v>905</v>
          </cell>
          <cell r="C1211" t="str">
            <v>08</v>
          </cell>
          <cell r="D1211" t="str">
            <v>01</v>
          </cell>
          <cell r="E1211" t="str">
            <v>795 18 00</v>
          </cell>
          <cell r="F1211" t="str">
            <v>500</v>
          </cell>
        </row>
        <row r="1212">
          <cell r="A1212" t="str">
            <v>Приобретение услуг</v>
          </cell>
          <cell r="B1212" t="str">
            <v>905</v>
          </cell>
          <cell r="C1212" t="str">
            <v>08</v>
          </cell>
          <cell r="D1212" t="str">
            <v>01</v>
          </cell>
          <cell r="E1212" t="str">
            <v>795 00 00</v>
          </cell>
          <cell r="F1212" t="str">
            <v>500</v>
          </cell>
        </row>
        <row r="1213">
          <cell r="A1213" t="str">
            <v>Услуги связи </v>
          </cell>
          <cell r="B1213" t="str">
            <v>905</v>
          </cell>
          <cell r="C1213" t="str">
            <v>08</v>
          </cell>
          <cell r="D1213" t="str">
            <v>01</v>
          </cell>
          <cell r="E1213" t="str">
            <v>795 18 00</v>
          </cell>
          <cell r="F1213" t="str">
            <v>500</v>
          </cell>
        </row>
        <row r="1214">
          <cell r="A1214" t="str">
            <v>Услуги по содержанию иммущества</v>
          </cell>
          <cell r="B1214" t="str">
            <v>905</v>
          </cell>
          <cell r="C1214" t="str">
            <v>08</v>
          </cell>
          <cell r="D1214" t="str">
            <v>01</v>
          </cell>
          <cell r="E1214" t="str">
            <v>795 18 00</v>
          </cell>
          <cell r="F1214" t="str">
            <v>500</v>
          </cell>
        </row>
        <row r="1215">
          <cell r="A1215" t="str">
            <v>Прочие услуги</v>
          </cell>
          <cell r="B1215" t="str">
            <v>905</v>
          </cell>
          <cell r="C1215" t="str">
            <v>08</v>
          </cell>
          <cell r="D1215" t="str">
            <v>01</v>
          </cell>
          <cell r="E1215" t="str">
            <v>795 18 00</v>
          </cell>
          <cell r="F1215" t="str">
            <v>500</v>
          </cell>
        </row>
        <row r="1216">
          <cell r="A1216" t="str">
            <v>Поступление нефинансовых активов</v>
          </cell>
          <cell r="B1216" t="str">
            <v>905</v>
          </cell>
          <cell r="C1216" t="str">
            <v>08</v>
          </cell>
          <cell r="D1216" t="str">
            <v>01</v>
          </cell>
          <cell r="E1216" t="str">
            <v>795 17 00</v>
          </cell>
          <cell r="F1216" t="str">
            <v>500</v>
          </cell>
        </row>
        <row r="1217">
          <cell r="A1217" t="str">
            <v>Увеличение стоимости материальных запасов</v>
          </cell>
          <cell r="B1217" t="str">
            <v>905</v>
          </cell>
          <cell r="C1217" t="str">
            <v>08</v>
          </cell>
          <cell r="D1217" t="str">
            <v>01</v>
          </cell>
          <cell r="E1217" t="str">
            <v>795 17 00</v>
          </cell>
          <cell r="F1217" t="str">
            <v>500</v>
          </cell>
        </row>
        <row r="1218">
          <cell r="A1218" t="str">
            <v>Улучшение условий и охраны труда, обеспечение санитарно-гигиенического режима в учреждениях культуры Усольского района на 2012-2014годы</v>
          </cell>
          <cell r="B1218" t="str">
            <v>905</v>
          </cell>
          <cell r="C1218" t="str">
            <v>08</v>
          </cell>
          <cell r="D1218" t="str">
            <v>01</v>
          </cell>
          <cell r="E1218" t="str">
            <v>795 35 00</v>
          </cell>
          <cell r="F1218" t="str">
            <v>000</v>
          </cell>
        </row>
        <row r="1219">
          <cell r="A1219" t="str">
            <v>Выполнение функций органами местного самоуправления</v>
          </cell>
          <cell r="B1219" t="str">
            <v>905</v>
          </cell>
          <cell r="C1219" t="str">
            <v>08</v>
          </cell>
          <cell r="D1219" t="str">
            <v>01</v>
          </cell>
          <cell r="E1219" t="str">
            <v>795 35 00</v>
          </cell>
          <cell r="F1219" t="str">
            <v>500</v>
          </cell>
        </row>
        <row r="1220">
          <cell r="A1220" t="str">
            <v>Другие вопросы в области культуры, кинематографии </v>
          </cell>
          <cell r="B1220" t="str">
            <v>905</v>
          </cell>
          <cell r="C1220" t="str">
            <v>08</v>
          </cell>
          <cell r="D1220" t="str">
            <v>04</v>
          </cell>
          <cell r="E1220" t="str">
            <v>000 00 00</v>
          </cell>
          <cell r="F1220" t="str">
            <v>000</v>
          </cell>
        </row>
        <row r="1221">
          <cell r="A1221" t="str">
            <v>Руководство и управление в сфере установленных функций органов государственной власти субъектов РФ и органов местного самоуправления</v>
          </cell>
          <cell r="B1221" t="str">
            <v>905</v>
          </cell>
          <cell r="C1221" t="str">
            <v>08</v>
          </cell>
          <cell r="D1221" t="str">
            <v>04</v>
          </cell>
          <cell r="E1221" t="str">
            <v>002 00 00</v>
          </cell>
          <cell r="F1221" t="str">
            <v>000</v>
          </cell>
        </row>
        <row r="1222">
          <cell r="A1222" t="str">
            <v>Центральный аппарат</v>
          </cell>
          <cell r="B1222" t="str">
            <v>905</v>
          </cell>
          <cell r="C1222" t="str">
            <v>08</v>
          </cell>
          <cell r="D1222" t="str">
            <v>04</v>
          </cell>
          <cell r="E1222" t="str">
            <v>002 04 00</v>
          </cell>
          <cell r="F1222" t="str">
            <v>000</v>
          </cell>
        </row>
        <row r="1223">
          <cell r="A1223" t="str">
            <v>Выполнение функций органами местного самоуправления</v>
          </cell>
          <cell r="B1223" t="str">
            <v>905</v>
          </cell>
          <cell r="C1223" t="str">
            <v>08</v>
          </cell>
          <cell r="D1223" t="str">
            <v>04</v>
          </cell>
          <cell r="E1223" t="str">
            <v>002 04 00</v>
          </cell>
          <cell r="F1223" t="str">
            <v>500</v>
          </cell>
        </row>
        <row r="1224">
          <cell r="A1224" t="str">
            <v>Расходы</v>
          </cell>
          <cell r="B1224" t="str">
            <v>905</v>
          </cell>
          <cell r="C1224" t="str">
            <v>08</v>
          </cell>
          <cell r="D1224" t="str">
            <v>04</v>
          </cell>
          <cell r="E1224" t="str">
            <v>002 04 00</v>
          </cell>
          <cell r="F1224" t="str">
            <v>500</v>
          </cell>
        </row>
        <row r="1225">
          <cell r="A1225" t="str">
            <v>Оплата труда и начисления на оплату труда</v>
          </cell>
          <cell r="B1225" t="str">
            <v>905</v>
          </cell>
          <cell r="C1225" t="str">
            <v>08</v>
          </cell>
          <cell r="D1225" t="str">
            <v>04</v>
          </cell>
          <cell r="E1225" t="str">
            <v>002 04 00</v>
          </cell>
          <cell r="F1225" t="str">
            <v>500</v>
          </cell>
        </row>
        <row r="1226">
          <cell r="A1226" t="str">
            <v>Заработная плата</v>
          </cell>
          <cell r="B1226" t="str">
            <v>905</v>
          </cell>
          <cell r="C1226" t="str">
            <v>08</v>
          </cell>
          <cell r="D1226" t="str">
            <v>04</v>
          </cell>
          <cell r="E1226" t="str">
            <v>002 04 00</v>
          </cell>
          <cell r="F1226" t="str">
            <v>500</v>
          </cell>
        </row>
        <row r="1227">
          <cell r="A1227" t="str">
            <v>Прочие выплаты</v>
          </cell>
          <cell r="B1227" t="str">
            <v>905</v>
          </cell>
          <cell r="C1227" t="str">
            <v>08</v>
          </cell>
          <cell r="D1227" t="str">
            <v>04</v>
          </cell>
          <cell r="E1227" t="str">
            <v>002 04 00</v>
          </cell>
          <cell r="F1227" t="str">
            <v>500</v>
          </cell>
        </row>
        <row r="1228">
          <cell r="A1228" t="str">
            <v>Начисление на оплату труда</v>
          </cell>
          <cell r="B1228" t="str">
            <v>905</v>
          </cell>
          <cell r="C1228" t="str">
            <v>08</v>
          </cell>
          <cell r="D1228" t="str">
            <v>04</v>
          </cell>
          <cell r="E1228" t="str">
            <v>002 04 00</v>
          </cell>
          <cell r="F1228" t="str">
            <v>500</v>
          </cell>
        </row>
        <row r="1229">
          <cell r="A1229" t="str">
            <v>Приобретение услуг</v>
          </cell>
          <cell r="B1229" t="str">
            <v>905</v>
          </cell>
          <cell r="C1229" t="str">
            <v>08</v>
          </cell>
          <cell r="D1229" t="str">
            <v>04</v>
          </cell>
          <cell r="E1229" t="str">
            <v>002 04 00</v>
          </cell>
          <cell r="F1229" t="str">
            <v>500</v>
          </cell>
        </row>
        <row r="1230">
          <cell r="A1230" t="str">
            <v>Услуги связи </v>
          </cell>
          <cell r="B1230" t="str">
            <v>905</v>
          </cell>
          <cell r="C1230" t="str">
            <v>08</v>
          </cell>
          <cell r="D1230" t="str">
            <v>04</v>
          </cell>
          <cell r="E1230" t="str">
            <v>002 04 00</v>
          </cell>
          <cell r="F1230" t="str">
            <v>500</v>
          </cell>
        </row>
        <row r="1231">
          <cell r="A1231" t="str">
            <v>Транспортные услуги</v>
          </cell>
          <cell r="B1231" t="str">
            <v>905</v>
          </cell>
          <cell r="C1231" t="str">
            <v>08</v>
          </cell>
          <cell r="D1231" t="str">
            <v>04</v>
          </cell>
          <cell r="E1231" t="str">
            <v>002 04 00</v>
          </cell>
          <cell r="F1231" t="str">
            <v>500</v>
          </cell>
        </row>
        <row r="1232">
          <cell r="A1232" t="str">
            <v>Коммунальные услуги</v>
          </cell>
          <cell r="B1232" t="str">
            <v>905</v>
          </cell>
          <cell r="C1232" t="str">
            <v>08</v>
          </cell>
          <cell r="D1232" t="str">
            <v>04</v>
          </cell>
          <cell r="E1232" t="str">
            <v>002 04 00</v>
          </cell>
          <cell r="F1232" t="str">
            <v>500</v>
          </cell>
        </row>
        <row r="1233">
          <cell r="A1233" t="str">
            <v>Арендная плата за пользование иммуществом </v>
          </cell>
          <cell r="B1233" t="str">
            <v>905</v>
          </cell>
          <cell r="C1233" t="str">
            <v>08</v>
          </cell>
          <cell r="D1233" t="str">
            <v>04</v>
          </cell>
          <cell r="E1233" t="str">
            <v>002 04 00</v>
          </cell>
          <cell r="F1233" t="str">
            <v>500</v>
          </cell>
        </row>
        <row r="1234">
          <cell r="A1234" t="str">
            <v>Услуги по содержанию иммущества</v>
          </cell>
          <cell r="B1234" t="str">
            <v>905</v>
          </cell>
          <cell r="C1234" t="str">
            <v>08</v>
          </cell>
          <cell r="D1234" t="str">
            <v>04</v>
          </cell>
          <cell r="E1234" t="str">
            <v>002 04 00</v>
          </cell>
          <cell r="F1234" t="str">
            <v>500</v>
          </cell>
        </row>
        <row r="1235">
          <cell r="A1235" t="str">
            <v>Прочие услуги</v>
          </cell>
          <cell r="B1235" t="str">
            <v>905</v>
          </cell>
          <cell r="C1235" t="str">
            <v>08</v>
          </cell>
          <cell r="D1235" t="str">
            <v>04</v>
          </cell>
          <cell r="E1235" t="str">
            <v>002 04 00</v>
          </cell>
          <cell r="F1235" t="str">
            <v>500</v>
          </cell>
        </row>
        <row r="1236">
          <cell r="A1236" t="str">
            <v>Прочие расходы </v>
          </cell>
          <cell r="B1236" t="str">
            <v>905</v>
          </cell>
          <cell r="C1236" t="str">
            <v>08</v>
          </cell>
          <cell r="D1236" t="str">
            <v>04</v>
          </cell>
          <cell r="E1236" t="str">
            <v>002 04 00</v>
          </cell>
          <cell r="F1236" t="str">
            <v>500</v>
          </cell>
        </row>
        <row r="1237">
          <cell r="A1237" t="str">
            <v>Прочие расходы</v>
          </cell>
          <cell r="B1237" t="str">
            <v>905</v>
          </cell>
          <cell r="C1237" t="str">
            <v>08</v>
          </cell>
          <cell r="D1237" t="str">
            <v>04</v>
          </cell>
          <cell r="E1237" t="str">
            <v>002 04 00</v>
          </cell>
          <cell r="F1237" t="str">
            <v>500</v>
          </cell>
        </row>
        <row r="1238">
          <cell r="A1238" t="str">
            <v>Поступление нефинансовых активов</v>
          </cell>
          <cell r="B1238" t="str">
            <v>905</v>
          </cell>
          <cell r="C1238" t="str">
            <v>08</v>
          </cell>
          <cell r="D1238" t="str">
            <v>04</v>
          </cell>
          <cell r="E1238" t="str">
            <v>002 04 00</v>
          </cell>
          <cell r="F1238" t="str">
            <v>500</v>
          </cell>
        </row>
        <row r="1239">
          <cell r="A1239" t="str">
            <v>Увеличение стоимости основных средств</v>
          </cell>
          <cell r="B1239" t="str">
            <v>905</v>
          </cell>
          <cell r="C1239" t="str">
            <v>08</v>
          </cell>
          <cell r="D1239" t="str">
            <v>04</v>
          </cell>
          <cell r="E1239" t="str">
            <v>002 04 00</v>
          </cell>
          <cell r="F1239" t="str">
            <v>500</v>
          </cell>
        </row>
        <row r="1240">
          <cell r="A1240" t="str">
            <v>Увеличение стоимости материальных запасов</v>
          </cell>
          <cell r="B1240" t="str">
            <v>905</v>
          </cell>
          <cell r="C1240" t="str">
            <v>08</v>
          </cell>
          <cell r="D1240" t="str">
            <v>04</v>
          </cell>
          <cell r="E1240" t="str">
            <v>002 04 00</v>
          </cell>
          <cell r="F1240" t="str">
            <v>500</v>
          </cell>
        </row>
        <row r="1241">
          <cell r="A1241" t="str">
            <v>Мероприятия в сфере культуры, кинематографиии средств массовой информации </v>
          </cell>
          <cell r="B1241" t="str">
            <v>902</v>
          </cell>
          <cell r="C1241" t="str">
            <v>08</v>
          </cell>
          <cell r="D1241" t="str">
            <v>04</v>
          </cell>
          <cell r="E1241" t="str">
            <v>450 85 00</v>
          </cell>
          <cell r="F1241" t="str">
            <v>000</v>
          </cell>
        </row>
        <row r="1242">
          <cell r="A1242" t="str">
            <v>Государственная поддержка в сфере культуры, кинематографии и средств массовой информации </v>
          </cell>
          <cell r="B1242" t="str">
            <v>902</v>
          </cell>
          <cell r="C1242" t="str">
            <v>08</v>
          </cell>
          <cell r="D1242" t="str">
            <v>04</v>
          </cell>
          <cell r="E1242" t="str">
            <v>450 85 00</v>
          </cell>
          <cell r="F1242" t="str">
            <v>012</v>
          </cell>
        </row>
        <row r="1243">
          <cell r="A1243" t="str">
            <v>Прочие расходы </v>
          </cell>
          <cell r="B1243" t="str">
            <v>902</v>
          </cell>
          <cell r="C1243" t="str">
            <v>08</v>
          </cell>
          <cell r="D1243" t="str">
            <v>04</v>
          </cell>
          <cell r="E1243" t="str">
            <v>450 85 00</v>
          </cell>
          <cell r="F1243" t="str">
            <v>012</v>
          </cell>
        </row>
        <row r="1244">
          <cell r="A1244" t="str">
            <v>Увеличение стоиммости материальных запасов</v>
          </cell>
          <cell r="B1244" t="str">
            <v>905</v>
          </cell>
          <cell r="C1244" t="str">
            <v>08</v>
          </cell>
          <cell r="D1244" t="str">
            <v>04</v>
          </cell>
          <cell r="E1244" t="str">
            <v>002 04 00</v>
          </cell>
          <cell r="F1244" t="str">
            <v>500</v>
          </cell>
        </row>
        <row r="1245">
          <cell r="A1245" t="str">
            <v>Межбюджетные трансферты на погашение кредиторской задолженности муниципальных учреждений по страховым взносам в Пенсионный фонд Российской Федерации на обязательное пенсионное страхование, сложившейся за период с 1 января 2001 года до 1 января 2010 года</v>
          </cell>
          <cell r="B1245" t="str">
            <v>905</v>
          </cell>
          <cell r="C1245" t="str">
            <v>08</v>
          </cell>
          <cell r="D1245" t="str">
            <v>04</v>
          </cell>
          <cell r="E1245" t="str">
            <v>603 00 00</v>
          </cell>
          <cell r="F1245" t="str">
            <v>001</v>
          </cell>
        </row>
        <row r="1246">
          <cell r="B1246" t="str">
            <v>905</v>
          </cell>
          <cell r="C1246" t="str">
            <v>08</v>
          </cell>
          <cell r="D1246" t="str">
            <v>04</v>
          </cell>
          <cell r="E1246" t="str">
            <v>603 00 00</v>
          </cell>
          <cell r="F1246" t="str">
            <v>001</v>
          </cell>
        </row>
        <row r="1247">
          <cell r="B1247" t="str">
            <v>905</v>
          </cell>
          <cell r="C1247" t="str">
            <v>08</v>
          </cell>
          <cell r="D1247" t="str">
            <v>04</v>
          </cell>
          <cell r="E1247" t="str">
            <v>603 00 00</v>
          </cell>
          <cell r="F1247" t="str">
            <v>001</v>
          </cell>
        </row>
        <row r="1248">
          <cell r="A1248" t="str">
            <v>Выполнение функций органами местного самоуправления</v>
          </cell>
          <cell r="B1248" t="str">
            <v>905</v>
          </cell>
          <cell r="C1248" t="str">
            <v>08</v>
          </cell>
          <cell r="D1248" t="str">
            <v>04</v>
          </cell>
          <cell r="E1248" t="str">
            <v>603 00 00</v>
          </cell>
          <cell r="F1248" t="str">
            <v>001</v>
          </cell>
        </row>
        <row r="1249">
          <cell r="A1249" t="str">
            <v>Расходы</v>
          </cell>
          <cell r="B1249" t="str">
            <v>905</v>
          </cell>
          <cell r="C1249" t="str">
            <v>08</v>
          </cell>
          <cell r="D1249" t="str">
            <v>04</v>
          </cell>
          <cell r="E1249" t="str">
            <v>603 00 00</v>
          </cell>
          <cell r="F1249" t="str">
            <v>001</v>
          </cell>
        </row>
        <row r="1250">
          <cell r="A1250" t="str">
            <v>Оплата труда и начисления на оплату труда</v>
          </cell>
          <cell r="B1250" t="str">
            <v>905</v>
          </cell>
          <cell r="C1250" t="str">
            <v>08</v>
          </cell>
          <cell r="D1250" t="str">
            <v>04</v>
          </cell>
          <cell r="E1250" t="str">
            <v>603 00 00</v>
          </cell>
          <cell r="F1250" t="str">
            <v>001</v>
          </cell>
        </row>
        <row r="1251">
          <cell r="A1251" t="str">
            <v>Начисление на оплату труда</v>
          </cell>
          <cell r="B1251" t="str">
            <v>905</v>
          </cell>
          <cell r="C1251" t="str">
            <v>08</v>
          </cell>
          <cell r="D1251" t="str">
            <v>04</v>
          </cell>
          <cell r="E1251" t="str">
            <v>603 00 00</v>
          </cell>
          <cell r="F1251" t="str">
            <v>001</v>
          </cell>
        </row>
        <row r="1252">
          <cell r="A1252" t="str">
    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    </cell>
          <cell r="B1252" t="str">
            <v>905</v>
          </cell>
          <cell r="C1252" t="str">
            <v>08</v>
          </cell>
          <cell r="D1252" t="str">
            <v>04</v>
          </cell>
          <cell r="E1252" t="str">
            <v>452 00 00</v>
          </cell>
          <cell r="F1252" t="str">
            <v>000</v>
          </cell>
        </row>
        <row r="1253">
          <cell r="A1253" t="str">
            <v>Обеспечение деятельности подведомственных учреждений</v>
          </cell>
          <cell r="B1253" t="str">
            <v>905</v>
          </cell>
          <cell r="C1253" t="str">
            <v>08</v>
          </cell>
          <cell r="D1253" t="str">
            <v>04</v>
          </cell>
          <cell r="E1253" t="str">
            <v>452 99 00</v>
          </cell>
          <cell r="F1253" t="str">
            <v>000</v>
          </cell>
        </row>
        <row r="1254">
          <cell r="A1254" t="str">
            <v>Выполнение функций бюджетными учреждениями</v>
          </cell>
          <cell r="B1254" t="str">
            <v>905</v>
          </cell>
          <cell r="C1254" t="str">
            <v>08</v>
          </cell>
          <cell r="D1254" t="str">
            <v>04</v>
          </cell>
          <cell r="E1254" t="str">
            <v>452 99 00</v>
          </cell>
          <cell r="F1254" t="str">
            <v>001</v>
          </cell>
        </row>
        <row r="1255">
          <cell r="A1255" t="str">
            <v>Расходы</v>
          </cell>
          <cell r="B1255" t="str">
            <v>905</v>
          </cell>
          <cell r="C1255" t="str">
            <v>08</v>
          </cell>
          <cell r="D1255" t="str">
            <v>04</v>
          </cell>
          <cell r="E1255" t="str">
            <v>452 99 00</v>
          </cell>
          <cell r="F1255" t="str">
            <v>001</v>
          </cell>
        </row>
        <row r="1256">
          <cell r="A1256" t="str">
            <v>Оплата труда и начисления на оплату труда</v>
          </cell>
          <cell r="B1256" t="str">
            <v>905</v>
          </cell>
          <cell r="C1256" t="str">
            <v>08</v>
          </cell>
          <cell r="D1256" t="str">
            <v>04</v>
          </cell>
          <cell r="E1256" t="str">
            <v>452 99 00</v>
          </cell>
          <cell r="F1256" t="str">
            <v>001</v>
          </cell>
        </row>
        <row r="1257">
          <cell r="A1257" t="str">
            <v>Заработная плата</v>
          </cell>
          <cell r="B1257" t="str">
            <v>905</v>
          </cell>
          <cell r="C1257" t="str">
            <v>08</v>
          </cell>
          <cell r="D1257" t="str">
            <v>04</v>
          </cell>
          <cell r="E1257" t="str">
            <v>452 99 00</v>
          </cell>
          <cell r="F1257" t="str">
            <v>001</v>
          </cell>
        </row>
        <row r="1258">
          <cell r="A1258" t="str">
            <v>Прочие выплаты</v>
          </cell>
          <cell r="B1258" t="str">
            <v>905</v>
          </cell>
          <cell r="C1258" t="str">
            <v>08</v>
          </cell>
          <cell r="D1258" t="str">
            <v>04</v>
          </cell>
          <cell r="E1258" t="str">
            <v>452 99 00</v>
          </cell>
          <cell r="F1258" t="str">
            <v>001</v>
          </cell>
        </row>
        <row r="1259">
          <cell r="A1259" t="str">
            <v>Начисление на оплату труда</v>
          </cell>
          <cell r="B1259" t="str">
            <v>905</v>
          </cell>
          <cell r="C1259" t="str">
            <v>08</v>
          </cell>
          <cell r="D1259" t="str">
            <v>04</v>
          </cell>
          <cell r="E1259" t="str">
            <v>452 99 00</v>
          </cell>
          <cell r="F1259" t="str">
            <v>001</v>
          </cell>
        </row>
        <row r="1260">
          <cell r="A1260" t="str">
            <v>Приобретение услуг</v>
          </cell>
          <cell r="B1260" t="str">
            <v>905</v>
          </cell>
          <cell r="C1260" t="str">
            <v>08</v>
          </cell>
          <cell r="D1260" t="str">
            <v>04</v>
          </cell>
          <cell r="E1260" t="str">
            <v>452 99 00</v>
          </cell>
          <cell r="F1260" t="str">
            <v>001</v>
          </cell>
        </row>
        <row r="1261">
          <cell r="A1261" t="str">
            <v>Услуги связи </v>
          </cell>
          <cell r="B1261" t="str">
            <v>905</v>
          </cell>
          <cell r="C1261" t="str">
            <v>08</v>
          </cell>
          <cell r="D1261" t="str">
            <v>04</v>
          </cell>
          <cell r="E1261" t="str">
            <v>452 99 00</v>
          </cell>
          <cell r="F1261" t="str">
            <v>001</v>
          </cell>
        </row>
        <row r="1262">
          <cell r="A1262" t="str">
            <v>Транспортные услуги</v>
          </cell>
          <cell r="B1262" t="str">
            <v>905</v>
          </cell>
          <cell r="C1262" t="str">
            <v>08</v>
          </cell>
          <cell r="D1262" t="str">
            <v>04</v>
          </cell>
          <cell r="E1262" t="str">
            <v>452 99 00</v>
          </cell>
          <cell r="F1262" t="str">
            <v>001</v>
          </cell>
        </row>
        <row r="1263">
          <cell r="A1263" t="str">
            <v>Коммунальные услуги</v>
          </cell>
          <cell r="B1263" t="str">
            <v>905</v>
          </cell>
          <cell r="C1263" t="str">
            <v>08</v>
          </cell>
          <cell r="D1263" t="str">
            <v>04</v>
          </cell>
          <cell r="E1263" t="str">
            <v>452 99 00</v>
          </cell>
          <cell r="F1263" t="str">
            <v>001</v>
          </cell>
        </row>
        <row r="1264">
          <cell r="A1264" t="str">
            <v>Арендная плата за пользование иммуществом </v>
          </cell>
          <cell r="B1264" t="str">
            <v>905</v>
          </cell>
          <cell r="C1264" t="str">
            <v>08</v>
          </cell>
          <cell r="D1264" t="str">
            <v>04</v>
          </cell>
          <cell r="E1264" t="str">
            <v>452 99 00</v>
          </cell>
          <cell r="F1264" t="str">
            <v>001</v>
          </cell>
        </row>
        <row r="1265">
          <cell r="A1265" t="str">
            <v>Услуги по содержанию иммущества</v>
          </cell>
          <cell r="B1265" t="str">
            <v>905</v>
          </cell>
          <cell r="C1265" t="str">
            <v>08</v>
          </cell>
          <cell r="D1265" t="str">
            <v>04</v>
          </cell>
          <cell r="E1265" t="str">
            <v>452 99 00</v>
          </cell>
          <cell r="F1265" t="str">
            <v>001</v>
          </cell>
        </row>
        <row r="1266">
          <cell r="A1266" t="str">
            <v>Прочие услуги</v>
          </cell>
          <cell r="B1266" t="str">
            <v>905</v>
          </cell>
          <cell r="C1266" t="str">
            <v>08</v>
          </cell>
          <cell r="D1266" t="str">
            <v>04</v>
          </cell>
          <cell r="E1266" t="str">
            <v>452 99 00</v>
          </cell>
          <cell r="F1266" t="str">
            <v>001</v>
          </cell>
        </row>
        <row r="1267">
          <cell r="A1267" t="str">
            <v>Прочие расходы </v>
          </cell>
          <cell r="B1267" t="str">
            <v>905</v>
          </cell>
          <cell r="C1267" t="str">
            <v>08</v>
          </cell>
          <cell r="D1267" t="str">
            <v>04</v>
          </cell>
          <cell r="E1267" t="str">
            <v>452 99 00</v>
          </cell>
          <cell r="F1267" t="str">
            <v>001</v>
          </cell>
        </row>
        <row r="1268">
          <cell r="A1268" t="str">
            <v>Поступление нефинансовых активов</v>
          </cell>
          <cell r="B1268" t="str">
            <v>905</v>
          </cell>
          <cell r="C1268" t="str">
            <v>08</v>
          </cell>
          <cell r="D1268" t="str">
            <v>04</v>
          </cell>
          <cell r="E1268" t="str">
            <v>452 99 00</v>
          </cell>
          <cell r="F1268" t="str">
            <v>001</v>
          </cell>
        </row>
        <row r="1269">
          <cell r="A1269" t="str">
            <v>Увеличение стоимости основных средств</v>
          </cell>
          <cell r="B1269" t="str">
            <v>905</v>
          </cell>
          <cell r="C1269" t="str">
            <v>08</v>
          </cell>
          <cell r="D1269" t="str">
            <v>04</v>
          </cell>
          <cell r="E1269" t="str">
            <v>452 99 00</v>
          </cell>
          <cell r="F1269" t="str">
            <v>001</v>
          </cell>
        </row>
        <row r="1270">
          <cell r="A1270" t="str">
            <v>Увеличение стоимости материальных запасов</v>
          </cell>
          <cell r="B1270" t="str">
            <v>905</v>
          </cell>
          <cell r="C1270" t="str">
            <v>08</v>
          </cell>
          <cell r="D1270" t="str">
            <v>04</v>
          </cell>
          <cell r="E1270" t="str">
            <v>452 99 00</v>
          </cell>
          <cell r="F1270" t="str">
            <v>001</v>
          </cell>
        </row>
        <row r="1271">
          <cell r="A1271" t="str">
            <v>Целевые программы муниципальных образований </v>
          </cell>
          <cell r="B1271" t="str">
            <v>901</v>
          </cell>
          <cell r="C1271" t="str">
            <v>08</v>
          </cell>
          <cell r="D1271" t="str">
            <v>06</v>
          </cell>
          <cell r="E1271" t="str">
            <v>795 00 00</v>
          </cell>
          <cell r="F1271" t="str">
            <v>000</v>
          </cell>
        </row>
        <row r="1272">
          <cell r="A1272" t="str">
            <v>Государственная поддержка в сфере культуры, кинематографии и средств массовой информации </v>
          </cell>
          <cell r="B1272" t="str">
            <v>901</v>
          </cell>
          <cell r="C1272" t="str">
            <v>08</v>
          </cell>
          <cell r="D1272" t="str">
            <v>06</v>
          </cell>
          <cell r="E1272" t="str">
            <v>795 00 00</v>
          </cell>
          <cell r="F1272" t="str">
            <v>453</v>
          </cell>
        </row>
        <row r="1273">
          <cell r="A1273" t="str">
            <v>Прочие расходы </v>
          </cell>
          <cell r="B1273" t="str">
            <v>901</v>
          </cell>
          <cell r="C1273" t="str">
            <v>08</v>
          </cell>
          <cell r="D1273" t="str">
            <v>06</v>
          </cell>
          <cell r="E1273" t="str">
            <v>795 00 00</v>
          </cell>
          <cell r="F1273" t="str">
            <v>453</v>
          </cell>
        </row>
        <row r="1274">
          <cell r="A1274" t="str">
            <v>Поступление нефинансовых активов</v>
          </cell>
          <cell r="B1274" t="str">
            <v>901</v>
          </cell>
          <cell r="C1274" t="str">
            <v>08</v>
          </cell>
          <cell r="D1274" t="str">
            <v>06</v>
          </cell>
          <cell r="E1274" t="str">
            <v>795 00 00</v>
          </cell>
          <cell r="F1274" t="str">
            <v>453</v>
          </cell>
        </row>
        <row r="1275">
          <cell r="A1275" t="str">
            <v>Увеличение стоимости основных средств</v>
          </cell>
          <cell r="B1275" t="str">
            <v>901</v>
          </cell>
          <cell r="C1275" t="str">
            <v>08</v>
          </cell>
          <cell r="D1275" t="str">
            <v>06</v>
          </cell>
          <cell r="E1275" t="str">
            <v>795 00 00</v>
          </cell>
          <cell r="F1275" t="str">
            <v>453</v>
          </cell>
        </row>
        <row r="1276">
          <cell r="A1276" t="str">
            <v>Культура, кинематография </v>
          </cell>
          <cell r="C1276" t="str">
            <v>08</v>
          </cell>
          <cell r="D1276" t="str">
            <v>00</v>
          </cell>
          <cell r="E1276" t="str">
            <v>000 00 00</v>
          </cell>
          <cell r="F1276" t="str">
            <v>000</v>
          </cell>
        </row>
        <row r="1277">
          <cell r="A1277" t="str">
            <v>Расходы</v>
          </cell>
          <cell r="C1277" t="str">
            <v>08</v>
          </cell>
          <cell r="D1277" t="str">
            <v>00</v>
          </cell>
          <cell r="E1277" t="str">
            <v>000 00 00</v>
          </cell>
          <cell r="F1277" t="str">
            <v>000</v>
          </cell>
        </row>
        <row r="1278">
          <cell r="A1278" t="str">
            <v>Оплата труда и начисления на оплату труда</v>
          </cell>
          <cell r="C1278" t="str">
            <v>08</v>
          </cell>
          <cell r="D1278" t="str">
            <v>00</v>
          </cell>
          <cell r="E1278" t="str">
            <v>000 00 00</v>
          </cell>
          <cell r="F1278" t="str">
            <v>000</v>
          </cell>
        </row>
        <row r="1279">
          <cell r="A1279" t="str">
            <v>Заработная плата</v>
          </cell>
          <cell r="C1279" t="str">
            <v>08</v>
          </cell>
          <cell r="D1279" t="str">
            <v>00</v>
          </cell>
          <cell r="E1279" t="str">
            <v>000 00 00</v>
          </cell>
          <cell r="F1279" t="str">
            <v>000</v>
          </cell>
        </row>
        <row r="1280">
          <cell r="A1280" t="str">
            <v>Прочие выплаты</v>
          </cell>
          <cell r="C1280" t="str">
            <v>08</v>
          </cell>
          <cell r="D1280" t="str">
            <v>00</v>
          </cell>
          <cell r="E1280" t="str">
            <v>000 00 00</v>
          </cell>
          <cell r="F1280" t="str">
            <v>000</v>
          </cell>
        </row>
        <row r="1281">
          <cell r="A1281" t="str">
            <v>Начисление на оплату труда</v>
          </cell>
          <cell r="C1281" t="str">
            <v>08</v>
          </cell>
          <cell r="D1281" t="str">
            <v>00</v>
          </cell>
          <cell r="E1281" t="str">
            <v>000 00 00</v>
          </cell>
          <cell r="F1281" t="str">
            <v>000</v>
          </cell>
        </row>
        <row r="1282">
          <cell r="A1282" t="str">
            <v>Приобретение услуг</v>
          </cell>
          <cell r="C1282" t="str">
            <v>08</v>
          </cell>
          <cell r="D1282" t="str">
            <v>00</v>
          </cell>
          <cell r="E1282" t="str">
            <v>000 00 00</v>
          </cell>
          <cell r="F1282" t="str">
            <v>000</v>
          </cell>
        </row>
        <row r="1283">
          <cell r="A1283" t="str">
            <v>Услуги связи </v>
          </cell>
          <cell r="C1283" t="str">
            <v>08</v>
          </cell>
          <cell r="D1283" t="str">
            <v>00</v>
          </cell>
          <cell r="E1283" t="str">
            <v>000 00 00</v>
          </cell>
          <cell r="F1283" t="str">
            <v>000</v>
          </cell>
        </row>
        <row r="1284">
          <cell r="A1284" t="str">
            <v>Транспортные услуги</v>
          </cell>
          <cell r="C1284" t="str">
            <v>08</v>
          </cell>
          <cell r="D1284" t="str">
            <v>00</v>
          </cell>
          <cell r="E1284" t="str">
            <v>000 00 00</v>
          </cell>
          <cell r="F1284" t="str">
            <v>000</v>
          </cell>
        </row>
        <row r="1285">
          <cell r="A1285" t="str">
            <v>Коммунальные услуги</v>
          </cell>
          <cell r="C1285" t="str">
            <v>08</v>
          </cell>
          <cell r="D1285" t="str">
            <v>00</v>
          </cell>
          <cell r="E1285" t="str">
            <v>000 00 00</v>
          </cell>
          <cell r="F1285" t="str">
            <v>000</v>
          </cell>
        </row>
        <row r="1286">
          <cell r="A1286" t="str">
            <v>Арендная плата за пользование иммуществом </v>
          </cell>
          <cell r="C1286" t="str">
            <v>08</v>
          </cell>
          <cell r="D1286" t="str">
            <v>00</v>
          </cell>
          <cell r="E1286" t="str">
            <v>000 00 00</v>
          </cell>
          <cell r="F1286" t="str">
            <v>000</v>
          </cell>
        </row>
        <row r="1287">
          <cell r="A1287" t="str">
            <v>Услуги по содержанию иммущества</v>
          </cell>
          <cell r="C1287" t="str">
            <v>08</v>
          </cell>
          <cell r="D1287" t="str">
            <v>00</v>
          </cell>
          <cell r="E1287" t="str">
            <v>000 00 00</v>
          </cell>
          <cell r="F1287" t="str">
            <v>000</v>
          </cell>
        </row>
        <row r="1288">
          <cell r="A1288" t="str">
            <v>Прочие услуги</v>
          </cell>
          <cell r="C1288" t="str">
            <v>08</v>
          </cell>
          <cell r="D1288" t="str">
            <v>00</v>
          </cell>
          <cell r="E1288" t="str">
            <v>000 00 00</v>
          </cell>
          <cell r="F1288" t="str">
            <v>000</v>
          </cell>
        </row>
        <row r="1289">
          <cell r="A1289" t="str">
            <v>Прочие расходы</v>
          </cell>
          <cell r="C1289" t="str">
            <v>08</v>
          </cell>
          <cell r="D1289" t="str">
            <v>00</v>
          </cell>
          <cell r="E1289" t="str">
            <v>000 00 00</v>
          </cell>
          <cell r="F1289" t="str">
            <v>000</v>
          </cell>
        </row>
        <row r="1290">
          <cell r="A1290" t="str">
            <v>Поступление нефинансовых активов</v>
          </cell>
          <cell r="C1290" t="str">
            <v>08</v>
          </cell>
          <cell r="D1290" t="str">
            <v>00</v>
          </cell>
          <cell r="E1290" t="str">
            <v>000 00 00</v>
          </cell>
          <cell r="F1290" t="str">
            <v>000</v>
          </cell>
        </row>
        <row r="1291">
          <cell r="A1291" t="str">
            <v>Увеличение стоимости основных средств</v>
          </cell>
          <cell r="C1291" t="str">
            <v>08</v>
          </cell>
          <cell r="D1291" t="str">
            <v>00</v>
          </cell>
          <cell r="E1291" t="str">
            <v>000 00 00</v>
          </cell>
          <cell r="F1291" t="str">
            <v>000</v>
          </cell>
        </row>
        <row r="1292">
          <cell r="A1292" t="str">
            <v>Увеличение стоимости материальных запасов</v>
          </cell>
          <cell r="C1292" t="str">
            <v>08</v>
          </cell>
          <cell r="D1292" t="str">
            <v>00</v>
          </cell>
          <cell r="E1292" t="str">
            <v>000 00 00</v>
          </cell>
          <cell r="F1292" t="str">
            <v>000</v>
          </cell>
        </row>
        <row r="1293">
          <cell r="A1293" t="str">
            <v>ИТОГО:</v>
          </cell>
          <cell r="C1293" t="str">
            <v>08</v>
          </cell>
          <cell r="D1293" t="str">
            <v>00</v>
          </cell>
          <cell r="E1293" t="str">
            <v>000 00 00</v>
          </cell>
          <cell r="F1293" t="str">
            <v>000</v>
          </cell>
        </row>
        <row r="1294">
          <cell r="A1294" t="str">
            <v>Целевые программы муниципальных образований </v>
          </cell>
          <cell r="B1294" t="str">
            <v>905</v>
          </cell>
          <cell r="C1294" t="str">
            <v>08</v>
          </cell>
          <cell r="D1294" t="str">
            <v>04</v>
          </cell>
          <cell r="E1294" t="str">
            <v>795 00 00</v>
          </cell>
          <cell r="F1294" t="str">
            <v>000</v>
          </cell>
        </row>
        <row r="1295">
          <cell r="A1295" t="str">
            <v>Выполнение функций органами местного самоуправления</v>
          </cell>
          <cell r="B1295" t="str">
            <v>905</v>
          </cell>
          <cell r="C1295" t="str">
            <v>08</v>
          </cell>
          <cell r="D1295" t="str">
            <v>04</v>
          </cell>
          <cell r="E1295" t="str">
            <v>795 00 00</v>
          </cell>
          <cell r="F1295" t="str">
            <v>500</v>
          </cell>
        </row>
        <row r="1296">
          <cell r="A1296" t="str">
            <v>Обеспечение техники безопасности в ужреждениях культуры Усольского района на 2012-2014 гг</v>
          </cell>
          <cell r="B1296" t="str">
            <v>905</v>
          </cell>
          <cell r="C1296" t="str">
            <v>08</v>
          </cell>
          <cell r="D1296" t="str">
            <v>04</v>
          </cell>
          <cell r="E1296" t="str">
            <v>795 35 00</v>
          </cell>
          <cell r="F1296" t="str">
            <v>500</v>
          </cell>
        </row>
        <row r="1297">
          <cell r="A1297" t="str">
            <v>Здравоохранение</v>
          </cell>
          <cell r="B1297" t="str">
            <v>904</v>
          </cell>
          <cell r="C1297" t="str">
            <v>09</v>
          </cell>
          <cell r="D1297" t="str">
            <v>00</v>
          </cell>
          <cell r="E1297" t="str">
            <v>000 00 00</v>
          </cell>
          <cell r="F1297" t="str">
            <v>000</v>
          </cell>
        </row>
        <row r="1298">
          <cell r="A1298" t="str">
            <v>Стационарная медицинская помощь</v>
          </cell>
          <cell r="B1298" t="str">
            <v>904</v>
          </cell>
          <cell r="C1298" t="str">
            <v>09</v>
          </cell>
          <cell r="D1298" t="str">
            <v>01</v>
          </cell>
          <cell r="E1298" t="str">
            <v>000 00 00</v>
          </cell>
          <cell r="F1298" t="str">
            <v>000</v>
          </cell>
        </row>
        <row r="1299">
          <cell r="A1299" t="str">
            <v>Больницы, клиники, госпитали, медико-санитарные части</v>
          </cell>
          <cell r="B1299" t="str">
            <v>904</v>
          </cell>
          <cell r="C1299" t="str">
            <v>09</v>
          </cell>
          <cell r="D1299" t="str">
            <v>01</v>
          </cell>
          <cell r="E1299" t="str">
            <v>002 00 00</v>
          </cell>
          <cell r="F1299" t="str">
            <v>000</v>
          </cell>
        </row>
        <row r="1300">
          <cell r="A1300" t="str">
            <v>Осуществление отдельных областных государственных полномочий в области охраны здоровья граждан</v>
          </cell>
          <cell r="B1300" t="str">
            <v>904</v>
          </cell>
          <cell r="C1300" t="str">
            <v>09</v>
          </cell>
          <cell r="D1300" t="str">
            <v>01</v>
          </cell>
          <cell r="E1300" t="str">
            <v>002 52 00</v>
          </cell>
          <cell r="F1300" t="str">
            <v>000</v>
          </cell>
        </row>
        <row r="1301">
          <cell r="A1301" t="str">
            <v>Выполнение функций бюджетными учреждениями</v>
          </cell>
          <cell r="B1301" t="str">
            <v>904</v>
          </cell>
          <cell r="C1301" t="str">
            <v>09</v>
          </cell>
          <cell r="D1301" t="str">
            <v>01</v>
          </cell>
          <cell r="E1301" t="str">
            <v>002 52 00</v>
          </cell>
          <cell r="F1301" t="str">
            <v>001</v>
          </cell>
        </row>
        <row r="1302">
          <cell r="A1302" t="str">
            <v>Субсидии некоммерческим организациям</v>
          </cell>
          <cell r="B1302" t="str">
            <v>904 </v>
          </cell>
          <cell r="C1302" t="str">
            <v>09</v>
          </cell>
          <cell r="D1302" t="str">
            <v>01</v>
          </cell>
          <cell r="E1302" t="str">
            <v>002 52 00</v>
          </cell>
          <cell r="F1302" t="str">
            <v>019</v>
          </cell>
        </row>
        <row r="1303">
          <cell r="A1303" t="str">
            <v>Больницы, клиники, госпитали, медико-санитарные части</v>
          </cell>
          <cell r="B1303" t="str">
            <v>904</v>
          </cell>
          <cell r="C1303" t="str">
            <v>09</v>
          </cell>
          <cell r="D1303" t="str">
            <v>01</v>
          </cell>
          <cell r="E1303" t="str">
            <v>470 00 00</v>
          </cell>
          <cell r="F1303" t="str">
            <v>000</v>
          </cell>
        </row>
        <row r="1304">
          <cell r="A1304" t="str">
            <v>Обеспечение деятельности подведомственных учреждений</v>
          </cell>
          <cell r="B1304" t="str">
            <v>904</v>
          </cell>
          <cell r="C1304" t="str">
            <v>09</v>
          </cell>
          <cell r="D1304" t="str">
            <v>01</v>
          </cell>
          <cell r="E1304" t="str">
            <v>470 99 00</v>
          </cell>
          <cell r="F1304" t="str">
            <v>000</v>
          </cell>
        </row>
        <row r="1305">
          <cell r="A1305" t="str">
            <v>Выполнение функций бюджетными учреждениями</v>
          </cell>
          <cell r="B1305" t="str">
            <v>904</v>
          </cell>
          <cell r="C1305" t="str">
            <v>09</v>
          </cell>
          <cell r="D1305" t="str">
            <v>01</v>
          </cell>
          <cell r="E1305" t="str">
            <v>470 99 00</v>
          </cell>
          <cell r="F1305" t="str">
            <v>001</v>
          </cell>
        </row>
        <row r="1306">
          <cell r="A1306" t="str">
            <v>Расходы</v>
          </cell>
          <cell r="B1306" t="str">
            <v>904</v>
          </cell>
          <cell r="C1306" t="str">
            <v>09</v>
          </cell>
          <cell r="D1306" t="str">
            <v>01</v>
          </cell>
          <cell r="E1306" t="str">
            <v>470 99 00</v>
          </cell>
          <cell r="F1306" t="str">
            <v>001</v>
          </cell>
        </row>
        <row r="1307">
          <cell r="A1307" t="str">
            <v>Оплата труда и начисления на оплату труда</v>
          </cell>
          <cell r="B1307" t="str">
            <v>904</v>
          </cell>
          <cell r="C1307" t="str">
            <v>09</v>
          </cell>
          <cell r="D1307" t="str">
            <v>01</v>
          </cell>
          <cell r="E1307" t="str">
            <v>470 99 00</v>
          </cell>
          <cell r="F1307" t="str">
            <v>001</v>
          </cell>
        </row>
        <row r="1308">
          <cell r="A1308" t="str">
            <v>Заработная плата</v>
          </cell>
          <cell r="B1308" t="str">
            <v>904</v>
          </cell>
          <cell r="C1308" t="str">
            <v>09</v>
          </cell>
          <cell r="D1308" t="str">
            <v>01</v>
          </cell>
          <cell r="E1308" t="str">
            <v>470 99 00</v>
          </cell>
          <cell r="F1308" t="str">
            <v>001</v>
          </cell>
        </row>
        <row r="1309">
          <cell r="A1309" t="str">
            <v>Прочие выплаты</v>
          </cell>
          <cell r="B1309" t="str">
            <v>904</v>
          </cell>
          <cell r="C1309" t="str">
            <v>09</v>
          </cell>
          <cell r="D1309" t="str">
            <v>01</v>
          </cell>
          <cell r="E1309" t="str">
            <v>470 99 00</v>
          </cell>
          <cell r="F1309" t="str">
            <v>001</v>
          </cell>
        </row>
        <row r="1310">
          <cell r="A1310" t="str">
            <v>Начисление на оплату труда</v>
          </cell>
          <cell r="B1310" t="str">
            <v>904</v>
          </cell>
          <cell r="C1310" t="str">
            <v>09</v>
          </cell>
          <cell r="D1310" t="str">
            <v>01</v>
          </cell>
          <cell r="E1310" t="str">
            <v>470 99 00</v>
          </cell>
          <cell r="F1310" t="str">
            <v>001</v>
          </cell>
        </row>
        <row r="1311">
          <cell r="A1311" t="str">
            <v>Приобретение услуг</v>
          </cell>
          <cell r="B1311" t="str">
            <v>904</v>
          </cell>
          <cell r="C1311" t="str">
            <v>09</v>
          </cell>
          <cell r="D1311" t="str">
            <v>01</v>
          </cell>
          <cell r="E1311" t="str">
            <v>470 99 00</v>
          </cell>
          <cell r="F1311" t="str">
            <v>001</v>
          </cell>
        </row>
        <row r="1312">
          <cell r="A1312" t="str">
            <v>Услуги связи </v>
          </cell>
          <cell r="B1312" t="str">
            <v>904</v>
          </cell>
          <cell r="C1312" t="str">
            <v>09</v>
          </cell>
          <cell r="D1312" t="str">
            <v>01</v>
          </cell>
          <cell r="E1312" t="str">
            <v>470 99 00</v>
          </cell>
          <cell r="F1312" t="str">
            <v>001</v>
          </cell>
        </row>
        <row r="1313">
          <cell r="A1313" t="str">
            <v>Транспортные услуги</v>
          </cell>
          <cell r="B1313" t="str">
            <v>904</v>
          </cell>
          <cell r="C1313" t="str">
            <v>09</v>
          </cell>
          <cell r="D1313" t="str">
            <v>01</v>
          </cell>
          <cell r="E1313" t="str">
            <v>470 99 00</v>
          </cell>
          <cell r="F1313" t="str">
            <v>001</v>
          </cell>
        </row>
        <row r="1314">
          <cell r="A1314" t="str">
            <v>Коммунальные услуги</v>
          </cell>
          <cell r="B1314" t="str">
            <v>904</v>
          </cell>
          <cell r="C1314" t="str">
            <v>09</v>
          </cell>
          <cell r="D1314" t="str">
            <v>01</v>
          </cell>
          <cell r="E1314" t="str">
            <v>470 99 00</v>
          </cell>
          <cell r="F1314" t="str">
            <v>001</v>
          </cell>
        </row>
        <row r="1315">
          <cell r="A1315" t="str">
            <v>Арендная плата за пользование иммуществом </v>
          </cell>
          <cell r="B1315" t="str">
            <v>904</v>
          </cell>
          <cell r="C1315" t="str">
            <v>09</v>
          </cell>
          <cell r="D1315" t="str">
            <v>01</v>
          </cell>
          <cell r="E1315" t="str">
            <v>470 99 00</v>
          </cell>
          <cell r="F1315" t="str">
            <v>001</v>
          </cell>
        </row>
        <row r="1316">
          <cell r="A1316" t="str">
            <v>Услуги по содержанию иммущества</v>
          </cell>
          <cell r="B1316" t="str">
            <v>904</v>
          </cell>
          <cell r="C1316" t="str">
            <v>09</v>
          </cell>
          <cell r="D1316" t="str">
            <v>01</v>
          </cell>
          <cell r="E1316" t="str">
            <v>470 99 00</v>
          </cell>
          <cell r="F1316" t="str">
            <v>001</v>
          </cell>
        </row>
        <row r="1317">
          <cell r="A1317" t="str">
            <v>Услуги по содержанию иммущества 8,40,00</v>
          </cell>
          <cell r="B1317" t="str">
            <v>904</v>
          </cell>
          <cell r="C1317" t="str">
            <v>09</v>
          </cell>
          <cell r="D1317" t="str">
            <v>01</v>
          </cell>
          <cell r="E1317" t="str">
            <v>470 99 00</v>
          </cell>
          <cell r="F1317" t="str">
            <v>001</v>
          </cell>
        </row>
        <row r="1318">
          <cell r="A1318" t="str">
            <v>Услуги по содержанию иммущества 8,40,01</v>
          </cell>
          <cell r="B1318" t="str">
            <v>904</v>
          </cell>
          <cell r="C1318" t="str">
            <v>09</v>
          </cell>
          <cell r="D1318" t="str">
            <v>01</v>
          </cell>
          <cell r="E1318" t="str">
            <v>470 99 00</v>
          </cell>
          <cell r="F1318" t="str">
            <v>001</v>
          </cell>
        </row>
        <row r="1319">
          <cell r="A1319" t="str">
            <v>Услуги по содержанию иммущества 8,40,02</v>
          </cell>
          <cell r="B1319" t="str">
            <v>904</v>
          </cell>
          <cell r="C1319" t="str">
            <v>09</v>
          </cell>
          <cell r="D1319" t="str">
            <v>01</v>
          </cell>
          <cell r="E1319" t="str">
            <v>470 99 00</v>
          </cell>
          <cell r="F1319" t="str">
            <v>001</v>
          </cell>
        </row>
        <row r="1320">
          <cell r="A1320" t="str">
            <v>Прочие услуги</v>
          </cell>
          <cell r="B1320" t="str">
            <v>904</v>
          </cell>
          <cell r="C1320" t="str">
            <v>09</v>
          </cell>
          <cell r="D1320" t="str">
            <v>01</v>
          </cell>
          <cell r="E1320" t="str">
            <v>470 99 00</v>
          </cell>
          <cell r="F1320" t="str">
            <v>001</v>
          </cell>
        </row>
        <row r="1321">
          <cell r="A1321" t="str">
            <v>Прочие услуги ПСД Тайтурка   </v>
          </cell>
          <cell r="B1321" t="str">
            <v>904</v>
          </cell>
          <cell r="C1321" t="str">
            <v>09</v>
          </cell>
          <cell r="D1321" t="str">
            <v>01</v>
          </cell>
          <cell r="E1321" t="str">
            <v>470 99 00</v>
          </cell>
          <cell r="F1321" t="str">
            <v>001</v>
          </cell>
        </row>
        <row r="1322">
          <cell r="A1322" t="str">
            <v>Прочие расходы </v>
          </cell>
          <cell r="B1322" t="str">
            <v>904</v>
          </cell>
          <cell r="C1322" t="str">
            <v>09</v>
          </cell>
          <cell r="D1322" t="str">
            <v>01</v>
          </cell>
          <cell r="E1322" t="str">
            <v>470 99 00</v>
          </cell>
          <cell r="F1322" t="str">
            <v>001</v>
          </cell>
        </row>
        <row r="1323">
          <cell r="A1323" t="str">
            <v>Поступление нефинансовых активов</v>
          </cell>
          <cell r="B1323" t="str">
            <v>904</v>
          </cell>
          <cell r="C1323" t="str">
            <v>09</v>
          </cell>
          <cell r="D1323" t="str">
            <v>01</v>
          </cell>
          <cell r="E1323" t="str">
            <v>470 99 00</v>
          </cell>
          <cell r="F1323" t="str">
            <v>001</v>
          </cell>
        </row>
        <row r="1324">
          <cell r="A1324" t="str">
            <v>Увеличение стоимости основных средств</v>
          </cell>
          <cell r="B1324" t="str">
            <v>904</v>
          </cell>
          <cell r="C1324" t="str">
            <v>09</v>
          </cell>
          <cell r="D1324" t="str">
            <v>01</v>
          </cell>
          <cell r="E1324" t="str">
            <v>470 99 00</v>
          </cell>
          <cell r="F1324" t="str">
            <v>001</v>
          </cell>
        </row>
        <row r="1325">
          <cell r="A1325" t="str">
            <v>Увеличение стоимости материальных запасов</v>
          </cell>
          <cell r="B1325" t="str">
            <v>904</v>
          </cell>
          <cell r="C1325" t="str">
            <v>09</v>
          </cell>
          <cell r="D1325" t="str">
            <v>01</v>
          </cell>
          <cell r="E1325" t="str">
            <v>470 99 00</v>
          </cell>
          <cell r="F1325" t="str">
            <v>001</v>
          </cell>
        </row>
        <row r="1326">
          <cell r="A1326" t="str">
            <v>8,40,02</v>
          </cell>
          <cell r="B1326" t="str">
            <v>904</v>
          </cell>
          <cell r="C1326" t="str">
            <v>09</v>
          </cell>
          <cell r="D1326" t="str">
            <v>01</v>
          </cell>
          <cell r="E1326" t="str">
            <v>470 99 00</v>
          </cell>
          <cell r="F1326" t="str">
            <v>001</v>
          </cell>
        </row>
        <row r="1327">
          <cell r="A1327" t="str">
            <v>Закупка автотранспотрных средств и коммунальной техники </v>
          </cell>
          <cell r="B1327" t="str">
            <v>904</v>
          </cell>
          <cell r="C1327" t="str">
            <v>09</v>
          </cell>
          <cell r="D1327" t="str">
            <v>01</v>
          </cell>
          <cell r="E1327" t="str">
            <v>340 07 02</v>
          </cell>
          <cell r="F1327" t="str">
            <v>001</v>
          </cell>
        </row>
        <row r="1328">
          <cell r="A1328" t="str">
            <v>Обеспечение деятельности подведомственных учреждений</v>
          </cell>
          <cell r="B1328" t="str">
            <v>904</v>
          </cell>
          <cell r="C1328" t="str">
            <v>09</v>
          </cell>
          <cell r="D1328" t="str">
            <v>01</v>
          </cell>
          <cell r="E1328" t="str">
            <v>340 07 02</v>
          </cell>
          <cell r="F1328" t="str">
            <v>001</v>
          </cell>
        </row>
        <row r="1329">
          <cell r="A1329" t="str">
            <v>Выполнение функций бюджетными учреждениями</v>
          </cell>
          <cell r="B1329" t="str">
            <v>904</v>
          </cell>
          <cell r="C1329" t="str">
            <v>09</v>
          </cell>
          <cell r="D1329" t="str">
            <v>01</v>
          </cell>
          <cell r="E1329" t="str">
            <v>340 07 02</v>
          </cell>
          <cell r="F1329" t="str">
            <v>001</v>
          </cell>
        </row>
        <row r="1330">
          <cell r="A1330" t="str">
            <v>Поступление нефинансовых активов</v>
          </cell>
          <cell r="B1330" t="str">
            <v>904</v>
          </cell>
          <cell r="C1330" t="str">
            <v>09</v>
          </cell>
          <cell r="D1330" t="str">
            <v>01</v>
          </cell>
          <cell r="E1330" t="str">
            <v>340 07 02</v>
          </cell>
          <cell r="F1330" t="str">
            <v>001</v>
          </cell>
        </row>
        <row r="1331">
          <cell r="A1331" t="str">
            <v>Увеличение стоимости основных средств</v>
          </cell>
          <cell r="B1331" t="str">
            <v>904</v>
          </cell>
          <cell r="C1331" t="str">
            <v>09</v>
          </cell>
          <cell r="D1331" t="str">
            <v>01</v>
          </cell>
          <cell r="E1331" t="str">
            <v>340 07 02</v>
          </cell>
          <cell r="F1331" t="str">
            <v>001</v>
          </cell>
        </row>
        <row r="1332">
          <cell r="A1332" t="str">
            <v>Субсидии некоммерческим организациям</v>
          </cell>
          <cell r="B1332" t="str">
            <v>904</v>
          </cell>
          <cell r="C1332" t="str">
            <v>09</v>
          </cell>
          <cell r="D1332" t="str">
            <v>01</v>
          </cell>
          <cell r="E1332" t="str">
            <v>470 99 00</v>
          </cell>
          <cell r="F1332" t="str">
            <v>019</v>
          </cell>
        </row>
        <row r="1333">
          <cell r="A1333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333" t="str">
            <v>904</v>
          </cell>
          <cell r="C1333" t="str">
            <v>09</v>
          </cell>
          <cell r="D1333" t="str">
            <v>01</v>
          </cell>
          <cell r="E1333" t="str">
            <v>590 00 00</v>
          </cell>
          <cell r="F1333" t="str">
            <v>000</v>
          </cell>
        </row>
        <row r="1334">
          <cell r="A1334" t="str">
            <v>Выполнение функций бюджетными учреждениями</v>
          </cell>
          <cell r="B1334" t="str">
            <v>904</v>
          </cell>
          <cell r="C1334" t="str">
            <v>09</v>
          </cell>
          <cell r="D1334" t="str">
            <v>01</v>
          </cell>
          <cell r="E1334" t="str">
            <v>590 00 00</v>
          </cell>
          <cell r="F1334" t="str">
            <v>001</v>
          </cell>
        </row>
        <row r="1335">
          <cell r="A1335" t="str">
            <v>Погашение просроченной кредиторской задолженности по состоянию на 1 апреля 2012 года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</v>
          </cell>
          <cell r="B1335" t="str">
            <v>904</v>
          </cell>
          <cell r="C1335" t="str">
            <v>09</v>
          </cell>
          <cell r="D1335" t="str">
            <v>01</v>
          </cell>
          <cell r="E1335" t="str">
            <v>594 00 00</v>
          </cell>
          <cell r="F1335" t="str">
            <v>000</v>
          </cell>
        </row>
        <row r="1336">
          <cell r="A1336" t="str">
            <v>Субсидии некоммерческим организациям</v>
          </cell>
          <cell r="B1336" t="str">
            <v>904</v>
          </cell>
          <cell r="C1336" t="str">
            <v>09</v>
          </cell>
          <cell r="D1336" t="str">
            <v>01</v>
          </cell>
          <cell r="E1336" t="str">
            <v>594 00 00</v>
          </cell>
          <cell r="F1336" t="str">
            <v>019</v>
          </cell>
        </row>
        <row r="1337">
          <cell r="A1337" t="str">
            <v>Амбулаторная помощь</v>
          </cell>
          <cell r="B1337" t="str">
            <v>904</v>
          </cell>
          <cell r="C1337" t="str">
            <v>09</v>
          </cell>
          <cell r="D1337" t="str">
            <v>02</v>
          </cell>
          <cell r="E1337" t="str">
            <v>000 00 00</v>
          </cell>
          <cell r="F1337" t="str">
            <v>000</v>
          </cell>
        </row>
        <row r="1338">
          <cell r="A1338" t="str">
            <v>Больницы, клиники, госпитали, медико-санитарные части</v>
          </cell>
          <cell r="B1338" t="str">
            <v>904</v>
          </cell>
          <cell r="C1338" t="str">
            <v>09</v>
          </cell>
          <cell r="D1338" t="str">
            <v>02</v>
          </cell>
          <cell r="E1338" t="str">
            <v>002 00 00</v>
          </cell>
          <cell r="F1338" t="str">
            <v>000</v>
          </cell>
        </row>
        <row r="1339">
          <cell r="A1339" t="str">
            <v>Осуществление отдельных областных государственных полномочий в области охраны здоровья граждан</v>
          </cell>
          <cell r="B1339" t="str">
            <v>904</v>
          </cell>
          <cell r="C1339" t="str">
            <v>09</v>
          </cell>
          <cell r="D1339" t="str">
            <v>02</v>
          </cell>
          <cell r="E1339" t="str">
            <v>002 52 00</v>
          </cell>
          <cell r="F1339" t="str">
            <v>000</v>
          </cell>
        </row>
        <row r="1340">
          <cell r="A1340" t="str">
            <v>Выполнение функций бюджетными учреждениями</v>
          </cell>
          <cell r="B1340" t="str">
            <v>904</v>
          </cell>
          <cell r="C1340" t="str">
            <v>09</v>
          </cell>
          <cell r="D1340" t="str">
            <v>02</v>
          </cell>
          <cell r="E1340" t="str">
            <v>002 52 00</v>
          </cell>
          <cell r="F1340" t="str">
            <v>001</v>
          </cell>
        </row>
        <row r="1341">
          <cell r="A1341" t="str">
            <v>Субсидии некоммерческим организациям</v>
          </cell>
          <cell r="B1341" t="str">
            <v>904</v>
          </cell>
          <cell r="C1341" t="str">
            <v>09</v>
          </cell>
          <cell r="D1341" t="str">
            <v>02</v>
          </cell>
          <cell r="E1341" t="str">
            <v>002 52 00</v>
          </cell>
          <cell r="F1341" t="str">
            <v>019</v>
          </cell>
        </row>
        <row r="1342">
          <cell r="A1342" t="str">
            <v>Больницы, клиники, госпитали, медико-санитарные части</v>
          </cell>
          <cell r="B1342" t="str">
            <v>904</v>
          </cell>
          <cell r="C1342" t="str">
            <v>09</v>
          </cell>
          <cell r="D1342" t="str">
            <v>02</v>
          </cell>
          <cell r="E1342" t="str">
            <v>470 00 00</v>
          </cell>
          <cell r="F1342" t="str">
            <v>000</v>
          </cell>
        </row>
        <row r="1343">
          <cell r="A1343" t="str">
            <v>Обеспечение деятельности подведомственных учреждений</v>
          </cell>
          <cell r="B1343" t="str">
            <v>904</v>
          </cell>
          <cell r="C1343" t="str">
            <v>09</v>
          </cell>
          <cell r="D1343" t="str">
            <v>02</v>
          </cell>
          <cell r="E1343" t="str">
            <v>470 99 00</v>
          </cell>
          <cell r="F1343" t="str">
            <v>000</v>
          </cell>
        </row>
        <row r="1344">
          <cell r="A1344" t="str">
            <v>Выполнение функций бюджетными учреждениями</v>
          </cell>
          <cell r="B1344" t="str">
            <v>904</v>
          </cell>
          <cell r="C1344" t="str">
            <v>09</v>
          </cell>
          <cell r="D1344" t="str">
            <v>02</v>
          </cell>
          <cell r="E1344" t="str">
            <v>470 99 00</v>
          </cell>
          <cell r="F1344" t="str">
            <v>001</v>
          </cell>
        </row>
        <row r="1345">
          <cell r="A1345" t="str">
            <v>Расходы</v>
          </cell>
          <cell r="B1345" t="str">
            <v>904</v>
          </cell>
          <cell r="C1345" t="str">
            <v>09</v>
          </cell>
          <cell r="D1345" t="str">
            <v>02</v>
          </cell>
          <cell r="E1345" t="str">
            <v>470 99 00</v>
          </cell>
          <cell r="F1345" t="str">
            <v>001</v>
          </cell>
        </row>
        <row r="1346">
          <cell r="A1346" t="str">
            <v>Оплата труда и начисления на оплату труда</v>
          </cell>
          <cell r="B1346" t="str">
            <v>904</v>
          </cell>
          <cell r="C1346" t="str">
            <v>09</v>
          </cell>
          <cell r="D1346" t="str">
            <v>02</v>
          </cell>
          <cell r="E1346" t="str">
            <v>470 99 00</v>
          </cell>
          <cell r="F1346" t="str">
            <v>001</v>
          </cell>
        </row>
        <row r="1347">
          <cell r="A1347" t="str">
            <v>Заработная плата</v>
          </cell>
          <cell r="B1347" t="str">
            <v>904</v>
          </cell>
          <cell r="C1347" t="str">
            <v>09</v>
          </cell>
          <cell r="D1347" t="str">
            <v>02</v>
          </cell>
          <cell r="E1347" t="str">
            <v>470 99 00</v>
          </cell>
          <cell r="F1347" t="str">
            <v>001</v>
          </cell>
        </row>
        <row r="1348">
          <cell r="A1348" t="str">
            <v>Прочие выплаты</v>
          </cell>
          <cell r="B1348" t="str">
            <v>904</v>
          </cell>
          <cell r="C1348" t="str">
            <v>09</v>
          </cell>
          <cell r="D1348" t="str">
            <v>02</v>
          </cell>
          <cell r="E1348" t="str">
            <v>470 99 00</v>
          </cell>
          <cell r="F1348" t="str">
            <v>001</v>
          </cell>
        </row>
        <row r="1349">
          <cell r="A1349" t="str">
            <v>Начисление на оплату труда</v>
          </cell>
          <cell r="B1349" t="str">
            <v>904</v>
          </cell>
          <cell r="C1349" t="str">
            <v>09</v>
          </cell>
          <cell r="D1349" t="str">
            <v>02</v>
          </cell>
          <cell r="E1349" t="str">
            <v>470 99 00</v>
          </cell>
          <cell r="F1349" t="str">
            <v>001</v>
          </cell>
        </row>
        <row r="1350">
          <cell r="A1350" t="str">
            <v>Приобретение услуг</v>
          </cell>
          <cell r="B1350" t="str">
            <v>904</v>
          </cell>
          <cell r="C1350" t="str">
            <v>09</v>
          </cell>
          <cell r="D1350" t="str">
            <v>02</v>
          </cell>
          <cell r="E1350" t="str">
            <v>470 99 00</v>
          </cell>
          <cell r="F1350" t="str">
            <v>001</v>
          </cell>
        </row>
        <row r="1351">
          <cell r="A1351" t="str">
            <v>Услуги связи </v>
          </cell>
          <cell r="B1351" t="str">
            <v>904</v>
          </cell>
          <cell r="C1351" t="str">
            <v>09</v>
          </cell>
          <cell r="D1351" t="str">
            <v>02</v>
          </cell>
          <cell r="E1351" t="str">
            <v>470 99 00</v>
          </cell>
          <cell r="F1351" t="str">
            <v>001</v>
          </cell>
        </row>
        <row r="1352">
          <cell r="A1352" t="str">
            <v>Транспортные услуги</v>
          </cell>
          <cell r="B1352" t="str">
            <v>904</v>
          </cell>
          <cell r="C1352" t="str">
            <v>09</v>
          </cell>
          <cell r="D1352" t="str">
            <v>02</v>
          </cell>
          <cell r="E1352" t="str">
            <v>470 99 00</v>
          </cell>
          <cell r="F1352" t="str">
            <v>001</v>
          </cell>
        </row>
        <row r="1353">
          <cell r="A1353" t="str">
            <v>Коммунальные услуги</v>
          </cell>
          <cell r="B1353" t="str">
            <v>904</v>
          </cell>
          <cell r="C1353" t="str">
            <v>09</v>
          </cell>
          <cell r="D1353" t="str">
            <v>02</v>
          </cell>
          <cell r="E1353" t="str">
            <v>470 99 00</v>
          </cell>
          <cell r="F1353" t="str">
            <v>001</v>
          </cell>
        </row>
        <row r="1354">
          <cell r="A1354" t="str">
            <v>Арендная плата за пользование иммуществом </v>
          </cell>
          <cell r="B1354" t="str">
            <v>904</v>
          </cell>
          <cell r="C1354" t="str">
            <v>09</v>
          </cell>
          <cell r="D1354" t="str">
            <v>02</v>
          </cell>
          <cell r="E1354" t="str">
            <v>470 99 00</v>
          </cell>
          <cell r="F1354" t="str">
            <v>001</v>
          </cell>
        </row>
        <row r="1355">
          <cell r="A1355" t="str">
            <v>Услуги по содержанию иммущества</v>
          </cell>
          <cell r="B1355" t="str">
            <v>904</v>
          </cell>
          <cell r="C1355" t="str">
            <v>09</v>
          </cell>
          <cell r="D1355" t="str">
            <v>02</v>
          </cell>
          <cell r="E1355" t="str">
            <v>470 99 00</v>
          </cell>
          <cell r="F1355" t="str">
            <v>001</v>
          </cell>
        </row>
        <row r="1356">
          <cell r="A1356" t="str">
            <v>Услуги по содержанию иммущества 8,40,00</v>
          </cell>
          <cell r="B1356" t="str">
            <v>904</v>
          </cell>
          <cell r="C1356" t="str">
            <v>09</v>
          </cell>
          <cell r="D1356" t="str">
            <v>02</v>
          </cell>
          <cell r="E1356" t="str">
            <v>470 99 00</v>
          </cell>
          <cell r="F1356" t="str">
            <v>001</v>
          </cell>
        </row>
        <row r="1357">
          <cell r="A1357" t="str">
            <v>Прочие услуги</v>
          </cell>
          <cell r="B1357" t="str">
            <v>904</v>
          </cell>
          <cell r="C1357" t="str">
            <v>09</v>
          </cell>
          <cell r="D1357" t="str">
            <v>02</v>
          </cell>
          <cell r="E1357" t="str">
            <v>470 99 00</v>
          </cell>
          <cell r="F1357" t="str">
            <v>001</v>
          </cell>
        </row>
        <row r="1358">
          <cell r="A1358" t="str">
            <v>Прочие расходы </v>
          </cell>
          <cell r="B1358" t="str">
            <v>904</v>
          </cell>
          <cell r="C1358" t="str">
            <v>09</v>
          </cell>
          <cell r="D1358" t="str">
            <v>02</v>
          </cell>
          <cell r="E1358" t="str">
            <v>470 99 00</v>
          </cell>
          <cell r="F1358" t="str">
            <v>001</v>
          </cell>
        </row>
        <row r="1359">
          <cell r="A1359" t="str">
            <v>Поступление нефинансовых активов</v>
          </cell>
          <cell r="B1359" t="str">
            <v>904</v>
          </cell>
          <cell r="C1359" t="str">
            <v>09</v>
          </cell>
          <cell r="D1359" t="str">
            <v>02</v>
          </cell>
          <cell r="E1359" t="str">
            <v>470 99 00</v>
          </cell>
          <cell r="F1359" t="str">
            <v>001</v>
          </cell>
        </row>
        <row r="1360">
          <cell r="A1360" t="str">
            <v>Увеличение стоимости основных средств</v>
          </cell>
          <cell r="B1360" t="str">
            <v>904</v>
          </cell>
          <cell r="C1360" t="str">
            <v>09</v>
          </cell>
          <cell r="D1360" t="str">
            <v>02</v>
          </cell>
          <cell r="E1360" t="str">
            <v>470 99 00</v>
          </cell>
          <cell r="F1360" t="str">
            <v>001</v>
          </cell>
        </row>
        <row r="1361">
          <cell r="A1361" t="str">
            <v>Увеличение стоимости материальных запасов</v>
          </cell>
          <cell r="B1361" t="str">
            <v>904</v>
          </cell>
          <cell r="C1361" t="str">
            <v>09</v>
          </cell>
          <cell r="D1361" t="str">
            <v>02</v>
          </cell>
          <cell r="E1361" t="str">
            <v>470 99 00</v>
          </cell>
          <cell r="F1361" t="str">
            <v>001</v>
          </cell>
        </row>
        <row r="1362">
          <cell r="A1362" t="str">
            <v>Субсидии некоммерческим организациям</v>
          </cell>
          <cell r="B1362" t="str">
            <v>904</v>
          </cell>
          <cell r="C1362" t="str">
            <v>09</v>
          </cell>
          <cell r="D1362" t="str">
            <v>02</v>
          </cell>
          <cell r="E1362" t="str">
            <v>470 99 00</v>
          </cell>
          <cell r="F1362" t="str">
            <v>019</v>
          </cell>
        </row>
        <row r="1363">
          <cell r="A1363" t="str">
            <v>Поликлиники, амбулатории, диагностические центры</v>
          </cell>
          <cell r="B1363" t="str">
            <v>904</v>
          </cell>
          <cell r="C1363" t="str">
            <v>09</v>
          </cell>
          <cell r="D1363" t="str">
            <v>02</v>
          </cell>
          <cell r="E1363" t="str">
            <v>002 00 00</v>
          </cell>
          <cell r="F1363" t="str">
            <v>000</v>
          </cell>
        </row>
        <row r="1364">
          <cell r="A1364" t="str">
            <v>Осуществление отдельных областных государственных полномочий в области охраны здоровья граждан</v>
          </cell>
          <cell r="B1364" t="str">
            <v>904</v>
          </cell>
          <cell r="C1364" t="str">
            <v>09</v>
          </cell>
          <cell r="D1364" t="str">
            <v>02</v>
          </cell>
          <cell r="E1364" t="str">
            <v>002 52 00</v>
          </cell>
          <cell r="F1364" t="str">
            <v>000</v>
          </cell>
        </row>
        <row r="1365">
          <cell r="A1365" t="str">
            <v>Выполнение функций бюджетными учреждениями</v>
          </cell>
          <cell r="B1365" t="str">
            <v>904</v>
          </cell>
          <cell r="C1365" t="str">
            <v>09</v>
          </cell>
          <cell r="D1365" t="str">
            <v>02</v>
          </cell>
          <cell r="E1365" t="str">
            <v>002 52 00</v>
          </cell>
          <cell r="F1365" t="str">
            <v>001</v>
          </cell>
        </row>
        <row r="1366">
          <cell r="A1366" t="str">
            <v>Субсидии некоммерческим организациям</v>
          </cell>
          <cell r="B1366" t="str">
            <v>904</v>
          </cell>
          <cell r="C1366" t="str">
            <v>09</v>
          </cell>
          <cell r="D1366" t="str">
            <v>02</v>
          </cell>
          <cell r="E1366" t="str">
            <v>002 52 00</v>
          </cell>
          <cell r="F1366" t="str">
            <v>019</v>
          </cell>
        </row>
        <row r="1367">
          <cell r="A1367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367" t="str">
            <v>904</v>
          </cell>
          <cell r="C1367" t="str">
            <v>09</v>
          </cell>
          <cell r="D1367" t="str">
            <v>02</v>
          </cell>
          <cell r="E1367" t="str">
            <v>590 00 00</v>
          </cell>
          <cell r="F1367" t="str">
            <v>000</v>
          </cell>
        </row>
        <row r="1368">
          <cell r="A1368" t="str">
            <v>Выполнение функций бюджетными учреждениями</v>
          </cell>
          <cell r="B1368" t="str">
            <v>904</v>
          </cell>
          <cell r="C1368" t="str">
            <v>09</v>
          </cell>
          <cell r="D1368" t="str">
            <v>02</v>
          </cell>
          <cell r="E1368" t="str">
            <v>590 00 00</v>
          </cell>
          <cell r="F1368" t="str">
            <v>001</v>
          </cell>
        </row>
        <row r="1369">
          <cell r="A1369" t="str">
            <v>Поликлиники, амбулатории, диагностические центры</v>
          </cell>
          <cell r="B1369" t="str">
            <v>904</v>
          </cell>
          <cell r="C1369" t="str">
            <v>09</v>
          </cell>
          <cell r="D1369" t="str">
            <v>02</v>
          </cell>
          <cell r="E1369" t="str">
            <v>471 00 00</v>
          </cell>
          <cell r="F1369" t="str">
            <v>000</v>
          </cell>
        </row>
        <row r="1370">
          <cell r="A1370" t="str">
            <v>Обеспечение деятельности подведомственных учреждений</v>
          </cell>
          <cell r="B1370" t="str">
            <v>904</v>
          </cell>
          <cell r="C1370" t="str">
            <v>09</v>
          </cell>
          <cell r="D1370" t="str">
            <v>02</v>
          </cell>
          <cell r="E1370" t="str">
            <v>471 99 00</v>
          </cell>
          <cell r="F1370" t="str">
            <v>000</v>
          </cell>
        </row>
        <row r="1371">
          <cell r="A1371" t="str">
            <v>Выполнение функций бюджетными учреждениями</v>
          </cell>
          <cell r="B1371" t="str">
            <v>904</v>
          </cell>
          <cell r="C1371" t="str">
            <v>09</v>
          </cell>
          <cell r="D1371" t="str">
            <v>02</v>
          </cell>
          <cell r="E1371" t="str">
            <v>471 99 00</v>
          </cell>
          <cell r="F1371" t="str">
            <v>001</v>
          </cell>
        </row>
        <row r="1372">
          <cell r="A1372" t="str">
            <v>Расходы</v>
          </cell>
          <cell r="B1372" t="str">
            <v>904</v>
          </cell>
          <cell r="C1372" t="str">
            <v>09</v>
          </cell>
          <cell r="D1372" t="str">
            <v>02</v>
          </cell>
          <cell r="E1372" t="str">
            <v>471 99 00</v>
          </cell>
          <cell r="F1372" t="str">
            <v>001</v>
          </cell>
        </row>
        <row r="1373">
          <cell r="A1373" t="str">
            <v>Оплата труда и начисления на оплату труда</v>
          </cell>
          <cell r="B1373" t="str">
            <v>904</v>
          </cell>
          <cell r="C1373" t="str">
            <v>09</v>
          </cell>
          <cell r="D1373" t="str">
            <v>02</v>
          </cell>
          <cell r="E1373" t="str">
            <v>471 99 00</v>
          </cell>
          <cell r="F1373" t="str">
            <v>001</v>
          </cell>
        </row>
        <row r="1374">
          <cell r="A1374" t="str">
            <v>Заработная плата</v>
          </cell>
          <cell r="B1374" t="str">
            <v>904</v>
          </cell>
          <cell r="C1374" t="str">
            <v>09</v>
          </cell>
          <cell r="D1374" t="str">
            <v>02</v>
          </cell>
          <cell r="E1374" t="str">
            <v>471 99 00</v>
          </cell>
          <cell r="F1374" t="str">
            <v>001</v>
          </cell>
        </row>
        <row r="1375">
          <cell r="A1375" t="str">
            <v>Прочие выплаты</v>
          </cell>
          <cell r="B1375" t="str">
            <v>904</v>
          </cell>
          <cell r="C1375" t="str">
            <v>09</v>
          </cell>
          <cell r="D1375" t="str">
            <v>02</v>
          </cell>
          <cell r="E1375" t="str">
            <v>471 99 00</v>
          </cell>
          <cell r="F1375" t="str">
            <v>001</v>
          </cell>
        </row>
        <row r="1376">
          <cell r="A1376" t="str">
            <v>Начисление на оплату труда</v>
          </cell>
          <cell r="B1376" t="str">
            <v>904</v>
          </cell>
          <cell r="C1376" t="str">
            <v>09</v>
          </cell>
          <cell r="D1376" t="str">
            <v>02</v>
          </cell>
          <cell r="E1376" t="str">
            <v>471 99 00</v>
          </cell>
          <cell r="F1376" t="str">
            <v>001</v>
          </cell>
        </row>
        <row r="1377">
          <cell r="A1377" t="str">
            <v>Приобретение услуг</v>
          </cell>
          <cell r="B1377" t="str">
            <v>904</v>
          </cell>
          <cell r="C1377" t="str">
            <v>09</v>
          </cell>
          <cell r="D1377" t="str">
            <v>02</v>
          </cell>
          <cell r="E1377" t="str">
            <v>471 99 00</v>
          </cell>
          <cell r="F1377" t="str">
            <v>001</v>
          </cell>
        </row>
        <row r="1378">
          <cell r="A1378" t="str">
            <v>Услуги связи </v>
          </cell>
          <cell r="B1378" t="str">
            <v>904</v>
          </cell>
          <cell r="C1378" t="str">
            <v>09</v>
          </cell>
          <cell r="D1378" t="str">
            <v>02</v>
          </cell>
          <cell r="E1378" t="str">
            <v>471 99 00</v>
          </cell>
          <cell r="F1378" t="str">
            <v>001</v>
          </cell>
        </row>
        <row r="1379">
          <cell r="A1379" t="str">
            <v>Транспортные услуги</v>
          </cell>
          <cell r="B1379" t="str">
            <v>904</v>
          </cell>
          <cell r="C1379" t="str">
            <v>09</v>
          </cell>
          <cell r="D1379" t="str">
            <v>02</v>
          </cell>
          <cell r="E1379" t="str">
            <v>471 99 00</v>
          </cell>
          <cell r="F1379" t="str">
            <v>001</v>
          </cell>
        </row>
        <row r="1380">
          <cell r="A1380" t="str">
            <v>Коммунальные услуги</v>
          </cell>
          <cell r="B1380" t="str">
            <v>904</v>
          </cell>
          <cell r="C1380" t="str">
            <v>09</v>
          </cell>
          <cell r="D1380" t="str">
            <v>02</v>
          </cell>
          <cell r="E1380" t="str">
            <v>471 99 00</v>
          </cell>
          <cell r="F1380" t="str">
            <v>001</v>
          </cell>
        </row>
        <row r="1381">
          <cell r="A1381" t="str">
            <v>Арендная плата за пользование иммуществом </v>
          </cell>
          <cell r="B1381" t="str">
            <v>904</v>
          </cell>
          <cell r="C1381" t="str">
            <v>09</v>
          </cell>
          <cell r="D1381" t="str">
            <v>02</v>
          </cell>
          <cell r="E1381" t="str">
            <v>471 99 00</v>
          </cell>
          <cell r="F1381" t="str">
            <v>001</v>
          </cell>
        </row>
        <row r="1382">
          <cell r="A1382" t="str">
            <v>Услуги по содержанию иммущества</v>
          </cell>
          <cell r="B1382" t="str">
            <v>904</v>
          </cell>
          <cell r="C1382" t="str">
            <v>09</v>
          </cell>
          <cell r="D1382" t="str">
            <v>02</v>
          </cell>
          <cell r="E1382" t="str">
            <v>471 99 00</v>
          </cell>
          <cell r="F1382" t="str">
            <v>001</v>
          </cell>
        </row>
        <row r="1383">
          <cell r="A1383" t="str">
            <v>Услуги по содержанию иммущества 8,40,00</v>
          </cell>
          <cell r="B1383" t="str">
            <v>904</v>
          </cell>
          <cell r="C1383" t="str">
            <v>09</v>
          </cell>
          <cell r="D1383" t="str">
            <v>02</v>
          </cell>
          <cell r="E1383" t="str">
            <v>471 99 00</v>
          </cell>
          <cell r="F1383" t="str">
            <v>001</v>
          </cell>
        </row>
        <row r="1384">
          <cell r="A1384" t="str">
            <v>Прочие услуги</v>
          </cell>
          <cell r="B1384" t="str">
            <v>904</v>
          </cell>
          <cell r="C1384" t="str">
            <v>09</v>
          </cell>
          <cell r="D1384" t="str">
            <v>02</v>
          </cell>
          <cell r="E1384" t="str">
            <v>471 99 00</v>
          </cell>
          <cell r="F1384" t="str">
            <v>001</v>
          </cell>
        </row>
        <row r="1385">
          <cell r="A1385" t="str">
            <v>Прочие расходы </v>
          </cell>
          <cell r="B1385" t="str">
            <v>904</v>
          </cell>
          <cell r="C1385" t="str">
            <v>09</v>
          </cell>
          <cell r="D1385" t="str">
            <v>02</v>
          </cell>
          <cell r="E1385" t="str">
            <v>471 99 00</v>
          </cell>
          <cell r="F1385" t="str">
            <v>001</v>
          </cell>
        </row>
        <row r="1386">
          <cell r="A1386" t="str">
            <v>Поступление нефинансовых активов</v>
          </cell>
          <cell r="B1386" t="str">
            <v>904</v>
          </cell>
          <cell r="C1386" t="str">
            <v>09</v>
          </cell>
          <cell r="D1386" t="str">
            <v>02</v>
          </cell>
          <cell r="E1386" t="str">
            <v>471 99 00</v>
          </cell>
          <cell r="F1386" t="str">
            <v>001</v>
          </cell>
        </row>
        <row r="1387">
          <cell r="A1387" t="str">
            <v>Увеличение стоимости основных средств</v>
          </cell>
          <cell r="B1387" t="str">
            <v>904</v>
          </cell>
          <cell r="C1387" t="str">
            <v>09</v>
          </cell>
          <cell r="D1387" t="str">
            <v>02</v>
          </cell>
          <cell r="E1387" t="str">
            <v>471 99 00</v>
          </cell>
          <cell r="F1387" t="str">
            <v>001</v>
          </cell>
        </row>
        <row r="1388">
          <cell r="A1388" t="str">
            <v>Увеличение стоимости материальных запасов</v>
          </cell>
          <cell r="B1388" t="str">
            <v>904</v>
          </cell>
          <cell r="C1388" t="str">
            <v>09</v>
          </cell>
          <cell r="D1388" t="str">
            <v>02</v>
          </cell>
          <cell r="E1388" t="str">
            <v>471 99 00</v>
          </cell>
          <cell r="F1388" t="str">
            <v>001</v>
          </cell>
        </row>
        <row r="1389">
          <cell r="A1389" t="str">
            <v>Субсидии некоммерческим организациям</v>
          </cell>
          <cell r="B1389" t="str">
            <v>904</v>
          </cell>
          <cell r="C1389" t="str">
            <v>09</v>
          </cell>
          <cell r="D1389" t="str">
            <v>02</v>
          </cell>
          <cell r="E1389" t="str">
            <v>471 99 00</v>
          </cell>
          <cell r="F1389" t="str">
            <v>019</v>
          </cell>
        </row>
        <row r="1390">
          <cell r="A1390" t="str">
            <v>Иные безвозмездные и безвозвратные перечисления </v>
          </cell>
          <cell r="B1390" t="str">
            <v>904</v>
          </cell>
          <cell r="C1390" t="str">
            <v>09</v>
          </cell>
          <cell r="D1390" t="str">
            <v>02</v>
          </cell>
          <cell r="E1390" t="str">
            <v>520 00 00</v>
          </cell>
          <cell r="F1390" t="str">
            <v>000 </v>
          </cell>
        </row>
        <row r="1391">
          <cell r="A1391" t="str">
            <v>Денежные выплаты медицинскому персоналу фельдшерско-акушерских пунктов, врачам, фельдшерам и медицинским сестрам скорой медицинской помощи</v>
          </cell>
          <cell r="B1391" t="str">
            <v>904</v>
          </cell>
          <cell r="C1391" t="str">
            <v>09</v>
          </cell>
          <cell r="D1391" t="str">
            <v>02</v>
          </cell>
          <cell r="E1391" t="str">
            <v>520 18 00</v>
          </cell>
          <cell r="F1391" t="str">
            <v>000</v>
          </cell>
        </row>
        <row r="1392">
          <cell r="A1392" t="str">
            <v>Выполнение функций бюджетными учреждениями</v>
          </cell>
          <cell r="B1392" t="str">
            <v>904</v>
          </cell>
          <cell r="C1392" t="str">
            <v>09</v>
          </cell>
          <cell r="D1392" t="str">
            <v>02</v>
          </cell>
          <cell r="E1392" t="str">
            <v>520 18 00</v>
          </cell>
          <cell r="F1392" t="str">
            <v>001</v>
          </cell>
        </row>
        <row r="1393">
          <cell r="A1393" t="str">
            <v>Расходы</v>
          </cell>
          <cell r="B1393" t="str">
            <v>904</v>
          </cell>
          <cell r="C1393" t="str">
            <v>09</v>
          </cell>
          <cell r="D1393" t="str">
            <v>02</v>
          </cell>
          <cell r="E1393" t="str">
            <v>520 18 00</v>
          </cell>
          <cell r="F1393" t="str">
            <v>001</v>
          </cell>
        </row>
        <row r="1394">
          <cell r="A1394" t="str">
            <v>Оплата труда и начисления на оплату труда</v>
          </cell>
          <cell r="B1394" t="str">
            <v>904</v>
          </cell>
          <cell r="C1394" t="str">
            <v>09</v>
          </cell>
          <cell r="D1394" t="str">
            <v>02</v>
          </cell>
          <cell r="E1394" t="str">
            <v>520 18 00</v>
          </cell>
          <cell r="F1394" t="str">
            <v>001</v>
          </cell>
        </row>
        <row r="1395">
          <cell r="A1395" t="str">
            <v>Заработная плата</v>
          </cell>
          <cell r="B1395" t="str">
            <v>904</v>
          </cell>
          <cell r="C1395" t="str">
            <v>09</v>
          </cell>
          <cell r="D1395" t="str">
            <v>02</v>
          </cell>
          <cell r="E1395" t="str">
            <v>520 18 00</v>
          </cell>
          <cell r="F1395" t="str">
            <v>001</v>
          </cell>
        </row>
        <row r="1396">
          <cell r="A1396" t="str">
            <v>Начисление на оплату труда</v>
          </cell>
          <cell r="B1396" t="str">
            <v>904</v>
          </cell>
          <cell r="C1396" t="str">
            <v>09</v>
          </cell>
          <cell r="D1396" t="str">
            <v>02</v>
          </cell>
          <cell r="E1396" t="str">
            <v>520 18 00</v>
          </cell>
          <cell r="F1396" t="str">
            <v>001</v>
          </cell>
        </row>
        <row r="1397">
          <cell r="A1397" t="str">
            <v>Субсидии некоммерческим организациям</v>
          </cell>
          <cell r="B1397" t="str">
            <v>904</v>
          </cell>
          <cell r="C1397" t="str">
            <v>09</v>
          </cell>
          <cell r="D1397" t="str">
            <v>02</v>
          </cell>
          <cell r="E1397" t="str">
            <v>520 18 00</v>
          </cell>
          <cell r="F1397" t="str">
            <v>019</v>
          </cell>
        </row>
        <row r="1398">
          <cell r="A1398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398" t="str">
            <v>904</v>
          </cell>
          <cell r="C1398" t="str">
            <v>09</v>
          </cell>
          <cell r="D1398" t="str">
            <v>02</v>
          </cell>
          <cell r="E1398" t="str">
            <v>590 00 00</v>
          </cell>
          <cell r="F1398" t="str">
            <v>000</v>
          </cell>
        </row>
        <row r="1399">
          <cell r="A1399" t="str">
            <v>Выполнение функций бюджетными учреждениями</v>
          </cell>
          <cell r="B1399" t="str">
            <v>904</v>
          </cell>
          <cell r="C1399" t="str">
            <v>09</v>
          </cell>
          <cell r="D1399" t="str">
            <v>02</v>
          </cell>
          <cell r="E1399" t="str">
            <v>590 00 00</v>
          </cell>
          <cell r="F1399" t="str">
            <v>001</v>
          </cell>
        </row>
        <row r="1400">
          <cell r="A1400" t="str">
            <v>Погашение просроченной кредиторской задолженности по состоянию на 1 апреля 2012 года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</v>
          </cell>
          <cell r="B1400" t="str">
            <v>904</v>
          </cell>
          <cell r="C1400" t="str">
            <v>09</v>
          </cell>
          <cell r="D1400" t="str">
            <v>02</v>
          </cell>
          <cell r="E1400" t="str">
            <v>594 00 00</v>
          </cell>
          <cell r="F1400" t="str">
            <v>000</v>
          </cell>
        </row>
        <row r="1401">
          <cell r="A1401" t="str">
            <v>Субсидии некоммерческим организациям</v>
          </cell>
          <cell r="B1401" t="str">
            <v>904</v>
          </cell>
          <cell r="C1401" t="str">
            <v>09</v>
          </cell>
          <cell r="D1401" t="str">
            <v>02</v>
          </cell>
          <cell r="E1401" t="str">
            <v>594 00 00</v>
          </cell>
          <cell r="F1401" t="str">
            <v>019</v>
          </cell>
        </row>
        <row r="1402">
          <cell r="A1402" t="str">
            <v>Медицинская помощь в дневных стационарах всех типов</v>
          </cell>
          <cell r="B1402" t="str">
            <v>904</v>
          </cell>
          <cell r="C1402" t="str">
            <v>09</v>
          </cell>
          <cell r="D1402" t="str">
            <v>03</v>
          </cell>
          <cell r="E1402" t="str">
            <v>000 00 00</v>
          </cell>
          <cell r="F1402" t="str">
            <v>000</v>
          </cell>
        </row>
        <row r="1403">
          <cell r="A1403" t="str">
            <v>Больницы, клиники, госпитали, медико-санитарные части</v>
          </cell>
          <cell r="B1403" t="str">
            <v>904</v>
          </cell>
          <cell r="C1403" t="str">
            <v>09</v>
          </cell>
          <cell r="D1403" t="str">
            <v>03</v>
          </cell>
          <cell r="E1403" t="str">
            <v>002 00 00</v>
          </cell>
          <cell r="F1403" t="str">
            <v>000</v>
          </cell>
        </row>
        <row r="1404">
          <cell r="A1404" t="str">
            <v>Осуществление отдельных областных государственных полномочий в области охраны здоровья граждан</v>
          </cell>
          <cell r="B1404" t="str">
            <v>904</v>
          </cell>
          <cell r="C1404" t="str">
            <v>09</v>
          </cell>
          <cell r="D1404" t="str">
            <v>03</v>
          </cell>
          <cell r="E1404" t="str">
            <v>002 52 00</v>
          </cell>
          <cell r="F1404" t="str">
            <v>000</v>
          </cell>
        </row>
        <row r="1405">
          <cell r="A1405" t="str">
            <v>Выполнение функций бюджетными учреждениями</v>
          </cell>
          <cell r="B1405" t="str">
            <v>904</v>
          </cell>
          <cell r="C1405" t="str">
            <v>09</v>
          </cell>
          <cell r="D1405" t="str">
            <v>03</v>
          </cell>
          <cell r="E1405" t="str">
            <v>002 52 00</v>
          </cell>
          <cell r="F1405" t="str">
            <v>001</v>
          </cell>
        </row>
        <row r="1406">
          <cell r="A1406" t="str">
            <v>Субсидии некоммерческим организациям</v>
          </cell>
          <cell r="B1406" t="str">
            <v>904</v>
          </cell>
          <cell r="C1406" t="str">
            <v>09</v>
          </cell>
          <cell r="D1406" t="str">
            <v>03</v>
          </cell>
          <cell r="E1406" t="str">
            <v>002 52 00</v>
          </cell>
          <cell r="F1406" t="str">
            <v>019</v>
          </cell>
        </row>
        <row r="1407">
          <cell r="A1407" t="str">
            <v>Больницы, клиники, госпитали, медико-санитарные части</v>
          </cell>
          <cell r="B1407" t="str">
            <v>904</v>
          </cell>
          <cell r="C1407" t="str">
            <v>09</v>
          </cell>
          <cell r="D1407" t="str">
            <v>03</v>
          </cell>
          <cell r="E1407" t="str">
            <v>470 00 00</v>
          </cell>
          <cell r="F1407" t="str">
            <v>000</v>
          </cell>
        </row>
        <row r="1408">
          <cell r="A1408" t="str">
            <v>Обеспечение деятельности подведомственных учреждений</v>
          </cell>
          <cell r="B1408" t="str">
            <v>904</v>
          </cell>
          <cell r="C1408" t="str">
            <v>09</v>
          </cell>
          <cell r="D1408" t="str">
            <v>03</v>
          </cell>
          <cell r="E1408" t="str">
            <v>470 99 00</v>
          </cell>
          <cell r="F1408" t="str">
            <v>000</v>
          </cell>
        </row>
        <row r="1409">
          <cell r="A1409" t="str">
            <v>Выполнение функций бюджетными учреждениями</v>
          </cell>
          <cell r="B1409" t="str">
            <v>904</v>
          </cell>
          <cell r="C1409" t="str">
            <v>09</v>
          </cell>
          <cell r="D1409" t="str">
            <v>03</v>
          </cell>
          <cell r="E1409" t="str">
            <v>470 99 00</v>
          </cell>
          <cell r="F1409" t="str">
            <v>001</v>
          </cell>
        </row>
        <row r="1410">
          <cell r="A1410" t="str">
            <v>Расходы</v>
          </cell>
          <cell r="B1410" t="str">
            <v>904</v>
          </cell>
          <cell r="C1410" t="str">
            <v>09</v>
          </cell>
          <cell r="D1410" t="str">
            <v>03</v>
          </cell>
          <cell r="E1410" t="str">
            <v>470 99 00</v>
          </cell>
          <cell r="F1410" t="str">
            <v>001</v>
          </cell>
        </row>
        <row r="1411">
          <cell r="A1411" t="str">
            <v>Оплата труда и начисления на оплату труда</v>
          </cell>
          <cell r="B1411" t="str">
            <v>904</v>
          </cell>
          <cell r="C1411" t="str">
            <v>09</v>
          </cell>
          <cell r="D1411" t="str">
            <v>03</v>
          </cell>
          <cell r="E1411" t="str">
            <v>470 99 00</v>
          </cell>
          <cell r="F1411" t="str">
            <v>001</v>
          </cell>
        </row>
        <row r="1412">
          <cell r="A1412" t="str">
            <v>Заработная плата</v>
          </cell>
          <cell r="B1412" t="str">
            <v>904</v>
          </cell>
          <cell r="C1412" t="str">
            <v>09</v>
          </cell>
          <cell r="D1412" t="str">
            <v>03</v>
          </cell>
          <cell r="E1412" t="str">
            <v>470 99 00</v>
          </cell>
          <cell r="F1412" t="str">
            <v>001</v>
          </cell>
        </row>
        <row r="1413">
          <cell r="A1413" t="str">
            <v>Прочие выплаты</v>
          </cell>
          <cell r="B1413" t="str">
            <v>904</v>
          </cell>
          <cell r="C1413" t="str">
            <v>09</v>
          </cell>
          <cell r="D1413" t="str">
            <v>03</v>
          </cell>
          <cell r="E1413" t="str">
            <v>470 99 00</v>
          </cell>
          <cell r="F1413" t="str">
            <v>001</v>
          </cell>
        </row>
        <row r="1414">
          <cell r="A1414" t="str">
            <v>Начисление на оплату труда</v>
          </cell>
          <cell r="B1414" t="str">
            <v>904</v>
          </cell>
          <cell r="C1414" t="str">
            <v>09</v>
          </cell>
          <cell r="D1414" t="str">
            <v>03</v>
          </cell>
          <cell r="E1414" t="str">
            <v>470 99 00</v>
          </cell>
          <cell r="F1414" t="str">
            <v>001</v>
          </cell>
        </row>
        <row r="1415">
          <cell r="A1415" t="str">
            <v>Приобретение услуг</v>
          </cell>
          <cell r="B1415" t="str">
            <v>904</v>
          </cell>
          <cell r="C1415" t="str">
            <v>09</v>
          </cell>
          <cell r="D1415" t="str">
            <v>03</v>
          </cell>
          <cell r="E1415" t="str">
            <v>470 99 00</v>
          </cell>
          <cell r="F1415" t="str">
            <v>001</v>
          </cell>
        </row>
        <row r="1416">
          <cell r="A1416" t="str">
            <v>Услуги связи </v>
          </cell>
          <cell r="B1416" t="str">
            <v>904</v>
          </cell>
          <cell r="C1416" t="str">
            <v>09</v>
          </cell>
          <cell r="D1416" t="str">
            <v>03</v>
          </cell>
          <cell r="E1416" t="str">
            <v>470 99 00</v>
          </cell>
          <cell r="F1416" t="str">
            <v>001</v>
          </cell>
        </row>
        <row r="1417">
          <cell r="A1417" t="str">
            <v>Транспортные услуги</v>
          </cell>
          <cell r="B1417" t="str">
            <v>904</v>
          </cell>
          <cell r="C1417" t="str">
            <v>09</v>
          </cell>
          <cell r="D1417" t="str">
            <v>03</v>
          </cell>
          <cell r="E1417" t="str">
            <v>470 99 00</v>
          </cell>
          <cell r="F1417" t="str">
            <v>001</v>
          </cell>
        </row>
        <row r="1418">
          <cell r="A1418" t="str">
            <v>Коммунальные услуги</v>
          </cell>
          <cell r="B1418" t="str">
            <v>904</v>
          </cell>
          <cell r="C1418" t="str">
            <v>09</v>
          </cell>
          <cell r="D1418" t="str">
            <v>03</v>
          </cell>
          <cell r="E1418" t="str">
            <v>470 99 00</v>
          </cell>
          <cell r="F1418" t="str">
            <v>001</v>
          </cell>
        </row>
        <row r="1419">
          <cell r="A1419" t="str">
            <v>Арендная плата за пользование иммуществом </v>
          </cell>
          <cell r="B1419" t="str">
            <v>904</v>
          </cell>
          <cell r="C1419" t="str">
            <v>09</v>
          </cell>
          <cell r="D1419" t="str">
            <v>03</v>
          </cell>
          <cell r="E1419" t="str">
            <v>470 99 00</v>
          </cell>
          <cell r="F1419" t="str">
            <v>001</v>
          </cell>
        </row>
        <row r="1420">
          <cell r="A1420" t="str">
            <v>Услуги по содержанию иммущества</v>
          </cell>
          <cell r="B1420" t="str">
            <v>904</v>
          </cell>
          <cell r="C1420" t="str">
            <v>09</v>
          </cell>
          <cell r="D1420" t="str">
            <v>03</v>
          </cell>
          <cell r="E1420" t="str">
            <v>470 99 00</v>
          </cell>
          <cell r="F1420" t="str">
            <v>001</v>
          </cell>
        </row>
        <row r="1421">
          <cell r="A1421" t="str">
            <v>Прочие услуги</v>
          </cell>
          <cell r="B1421" t="str">
            <v>904</v>
          </cell>
          <cell r="C1421" t="str">
            <v>09</v>
          </cell>
          <cell r="D1421" t="str">
            <v>03</v>
          </cell>
          <cell r="E1421" t="str">
            <v>470 99 00</v>
          </cell>
          <cell r="F1421" t="str">
            <v>001</v>
          </cell>
        </row>
        <row r="1422">
          <cell r="A1422" t="str">
            <v>Прочие расходы </v>
          </cell>
          <cell r="B1422" t="str">
            <v>904</v>
          </cell>
          <cell r="C1422" t="str">
            <v>09</v>
          </cell>
          <cell r="D1422" t="str">
            <v>03</v>
          </cell>
          <cell r="E1422" t="str">
            <v>470 99 00</v>
          </cell>
          <cell r="F1422" t="str">
            <v>001</v>
          </cell>
        </row>
        <row r="1423">
          <cell r="A1423" t="str">
            <v>Поступление нефинансовых активов</v>
          </cell>
          <cell r="B1423" t="str">
            <v>904</v>
          </cell>
          <cell r="C1423" t="str">
            <v>09</v>
          </cell>
          <cell r="D1423" t="str">
            <v>03</v>
          </cell>
          <cell r="E1423" t="str">
            <v>470 99 00</v>
          </cell>
          <cell r="F1423" t="str">
            <v>001</v>
          </cell>
        </row>
        <row r="1424">
          <cell r="A1424" t="str">
            <v>Увеличение стоимости основных средств</v>
          </cell>
          <cell r="B1424" t="str">
            <v>904</v>
          </cell>
          <cell r="C1424" t="str">
            <v>09</v>
          </cell>
          <cell r="D1424" t="str">
            <v>03</v>
          </cell>
          <cell r="E1424" t="str">
            <v>470 99 00</v>
          </cell>
          <cell r="F1424" t="str">
            <v>001</v>
          </cell>
        </row>
        <row r="1425">
          <cell r="A1425" t="str">
            <v>Увеличение стоимости материальных запасов</v>
          </cell>
          <cell r="B1425" t="str">
            <v>904</v>
          </cell>
          <cell r="C1425" t="str">
            <v>09</v>
          </cell>
          <cell r="D1425" t="str">
            <v>03</v>
          </cell>
          <cell r="E1425" t="str">
            <v>470 99 00</v>
          </cell>
          <cell r="F1425" t="str">
            <v>001</v>
          </cell>
        </row>
        <row r="1426">
          <cell r="A1426" t="str">
            <v>Субсидии некоммерческим организациям</v>
          </cell>
          <cell r="B1426" t="str">
            <v>904</v>
          </cell>
          <cell r="C1426" t="str">
            <v>09</v>
          </cell>
          <cell r="D1426" t="str">
            <v>03</v>
          </cell>
          <cell r="E1426" t="str">
            <v>470 99 00</v>
          </cell>
          <cell r="F1426" t="str">
            <v>019</v>
          </cell>
        </row>
        <row r="1427">
          <cell r="A1427" t="str">
            <v>Поликлиники, амбулатории, диагностические центры</v>
          </cell>
          <cell r="B1427" t="str">
            <v>904</v>
          </cell>
          <cell r="C1427" t="str">
            <v>09</v>
          </cell>
          <cell r="D1427" t="str">
            <v>03</v>
          </cell>
          <cell r="E1427" t="str">
            <v>002 00 00</v>
          </cell>
          <cell r="F1427" t="str">
            <v>000</v>
          </cell>
        </row>
        <row r="1428">
          <cell r="A1428" t="str">
            <v>Осуществление отдельных областных государственных полномочий в области охраны здоровья граждан</v>
          </cell>
          <cell r="B1428" t="str">
            <v>904</v>
          </cell>
          <cell r="C1428" t="str">
            <v>09</v>
          </cell>
          <cell r="D1428" t="str">
            <v>03</v>
          </cell>
          <cell r="E1428" t="str">
            <v>002 52 00</v>
          </cell>
          <cell r="F1428" t="str">
            <v>000</v>
          </cell>
        </row>
        <row r="1429">
          <cell r="A1429" t="str">
            <v>Выполнение функций бюджетными учреждениями</v>
          </cell>
          <cell r="B1429" t="str">
            <v>904</v>
          </cell>
          <cell r="C1429" t="str">
            <v>09</v>
          </cell>
          <cell r="D1429" t="str">
            <v>03</v>
          </cell>
          <cell r="E1429" t="str">
            <v>002 52 00</v>
          </cell>
          <cell r="F1429" t="str">
            <v>001</v>
          </cell>
        </row>
        <row r="1430">
          <cell r="A1430" t="str">
            <v>Субсидии некоммерческим организациям</v>
          </cell>
          <cell r="B1430" t="str">
            <v>904</v>
          </cell>
          <cell r="C1430" t="str">
            <v>09</v>
          </cell>
          <cell r="D1430" t="str">
            <v>03</v>
          </cell>
          <cell r="E1430" t="str">
            <v>002 52 00</v>
          </cell>
          <cell r="F1430" t="str">
            <v>019</v>
          </cell>
        </row>
        <row r="1431">
          <cell r="A1431" t="str">
            <v>Поликлиники, амбулатории, диагностические центры</v>
          </cell>
          <cell r="B1431" t="str">
            <v>904</v>
          </cell>
          <cell r="C1431" t="str">
            <v>09</v>
          </cell>
          <cell r="D1431" t="str">
            <v>03</v>
          </cell>
          <cell r="E1431" t="str">
            <v>471 00 00</v>
          </cell>
          <cell r="F1431" t="str">
            <v>000</v>
          </cell>
        </row>
        <row r="1432">
          <cell r="A1432" t="str">
            <v>Обеспечение деятельности подведомственных учреждений</v>
          </cell>
          <cell r="B1432" t="str">
            <v>904</v>
          </cell>
          <cell r="C1432" t="str">
            <v>09</v>
          </cell>
          <cell r="D1432" t="str">
            <v>03</v>
          </cell>
          <cell r="E1432" t="str">
            <v>471 99 00</v>
          </cell>
          <cell r="F1432" t="str">
            <v>000</v>
          </cell>
        </row>
        <row r="1433">
          <cell r="A1433" t="str">
            <v>Субсидии некоммерческим организациям</v>
          </cell>
          <cell r="B1433" t="str">
            <v>904</v>
          </cell>
          <cell r="C1433" t="str">
            <v>09</v>
          </cell>
          <cell r="D1433" t="str">
            <v>03</v>
          </cell>
          <cell r="E1433" t="str">
            <v>471 99 00</v>
          </cell>
          <cell r="F1433" t="str">
            <v>019</v>
          </cell>
        </row>
        <row r="1434">
          <cell r="A1434" t="str">
            <v>Расходы</v>
          </cell>
          <cell r="B1434" t="str">
            <v>904</v>
          </cell>
          <cell r="C1434" t="str">
            <v>09</v>
          </cell>
          <cell r="D1434" t="str">
            <v>03</v>
          </cell>
          <cell r="E1434" t="str">
            <v>471 99 00</v>
          </cell>
          <cell r="F1434" t="str">
            <v>001</v>
          </cell>
        </row>
        <row r="1435">
          <cell r="A1435" t="str">
            <v>Оплата труда и начисления на оплату труда</v>
          </cell>
          <cell r="B1435" t="str">
            <v>904</v>
          </cell>
          <cell r="C1435" t="str">
            <v>09</v>
          </cell>
          <cell r="D1435" t="str">
            <v>03</v>
          </cell>
          <cell r="E1435" t="str">
            <v>471 99 00</v>
          </cell>
          <cell r="F1435" t="str">
            <v>001</v>
          </cell>
        </row>
        <row r="1436">
          <cell r="A1436" t="str">
            <v>Заработная плата</v>
          </cell>
          <cell r="B1436" t="str">
            <v>904</v>
          </cell>
          <cell r="C1436" t="str">
            <v>09</v>
          </cell>
          <cell r="D1436" t="str">
            <v>03</v>
          </cell>
          <cell r="E1436" t="str">
            <v>471 99 00</v>
          </cell>
          <cell r="F1436" t="str">
            <v>001</v>
          </cell>
        </row>
        <row r="1437">
          <cell r="A1437" t="str">
            <v>Прочие выплаты</v>
          </cell>
          <cell r="B1437" t="str">
            <v>904</v>
          </cell>
          <cell r="C1437" t="str">
            <v>09</v>
          </cell>
          <cell r="D1437" t="str">
            <v>03</v>
          </cell>
          <cell r="E1437" t="str">
            <v>471 99 00</v>
          </cell>
          <cell r="F1437" t="str">
            <v>001</v>
          </cell>
        </row>
        <row r="1438">
          <cell r="A1438" t="str">
            <v>Начисление на оплату труда</v>
          </cell>
          <cell r="B1438" t="str">
            <v>904</v>
          </cell>
          <cell r="C1438" t="str">
            <v>09</v>
          </cell>
          <cell r="D1438" t="str">
            <v>03</v>
          </cell>
          <cell r="E1438" t="str">
            <v>471 99 00</v>
          </cell>
          <cell r="F1438" t="str">
            <v>001</v>
          </cell>
        </row>
        <row r="1439">
          <cell r="A1439" t="str">
            <v>Приобретение услуг</v>
          </cell>
          <cell r="B1439" t="str">
            <v>904</v>
          </cell>
          <cell r="C1439" t="str">
            <v>09</v>
          </cell>
          <cell r="D1439" t="str">
            <v>03</v>
          </cell>
          <cell r="E1439" t="str">
            <v>471 99 00</v>
          </cell>
          <cell r="F1439" t="str">
            <v>001</v>
          </cell>
        </row>
        <row r="1440">
          <cell r="A1440" t="str">
            <v>Услуги связи </v>
          </cell>
          <cell r="B1440" t="str">
            <v>904</v>
          </cell>
          <cell r="C1440" t="str">
            <v>09</v>
          </cell>
          <cell r="D1440" t="str">
            <v>03</v>
          </cell>
          <cell r="E1440" t="str">
            <v>471 99 00</v>
          </cell>
          <cell r="F1440" t="str">
            <v>001</v>
          </cell>
        </row>
        <row r="1441">
          <cell r="A1441" t="str">
            <v>Транспортные услуги</v>
          </cell>
          <cell r="B1441" t="str">
            <v>904</v>
          </cell>
          <cell r="C1441" t="str">
            <v>09</v>
          </cell>
          <cell r="D1441" t="str">
            <v>03</v>
          </cell>
          <cell r="E1441" t="str">
            <v>471 99 00</v>
          </cell>
          <cell r="F1441" t="str">
            <v>001</v>
          </cell>
        </row>
        <row r="1442">
          <cell r="A1442" t="str">
            <v>Коммунальные услуги</v>
          </cell>
          <cell r="B1442" t="str">
            <v>904</v>
          </cell>
          <cell r="C1442" t="str">
            <v>09</v>
          </cell>
          <cell r="D1442" t="str">
            <v>03</v>
          </cell>
          <cell r="E1442" t="str">
            <v>471 99 00</v>
          </cell>
          <cell r="F1442" t="str">
            <v>001</v>
          </cell>
        </row>
        <row r="1443">
          <cell r="A1443" t="str">
            <v>Арендная плата за пользование иммуществом </v>
          </cell>
          <cell r="B1443" t="str">
            <v>904</v>
          </cell>
          <cell r="C1443" t="str">
            <v>09</v>
          </cell>
          <cell r="D1443" t="str">
            <v>03</v>
          </cell>
          <cell r="E1443" t="str">
            <v>471 99 00</v>
          </cell>
          <cell r="F1443" t="str">
            <v>001</v>
          </cell>
        </row>
        <row r="1444">
          <cell r="A1444" t="str">
            <v>Услуги по содержанию иммущества</v>
          </cell>
          <cell r="B1444" t="str">
            <v>904</v>
          </cell>
          <cell r="C1444" t="str">
            <v>09</v>
          </cell>
          <cell r="D1444" t="str">
            <v>03</v>
          </cell>
          <cell r="E1444" t="str">
            <v>471 99 00</v>
          </cell>
          <cell r="F1444" t="str">
            <v>001</v>
          </cell>
        </row>
        <row r="1445">
          <cell r="A1445" t="str">
            <v>Прочие услуги</v>
          </cell>
          <cell r="B1445" t="str">
            <v>904</v>
          </cell>
          <cell r="C1445" t="str">
            <v>09</v>
          </cell>
          <cell r="D1445" t="str">
            <v>03</v>
          </cell>
          <cell r="E1445" t="str">
            <v>471 99 00</v>
          </cell>
          <cell r="F1445" t="str">
            <v>001</v>
          </cell>
        </row>
        <row r="1446">
          <cell r="A1446" t="str">
            <v>Прочие расходы </v>
          </cell>
          <cell r="B1446" t="str">
            <v>904</v>
          </cell>
          <cell r="C1446" t="str">
            <v>09</v>
          </cell>
          <cell r="D1446" t="str">
            <v>03</v>
          </cell>
          <cell r="E1446" t="str">
            <v>471 99 00</v>
          </cell>
          <cell r="F1446" t="str">
            <v>001</v>
          </cell>
        </row>
        <row r="1447">
          <cell r="A1447" t="str">
            <v>Поступление нефинансовых активов</v>
          </cell>
          <cell r="B1447" t="str">
            <v>904</v>
          </cell>
          <cell r="C1447" t="str">
            <v>09</v>
          </cell>
          <cell r="D1447" t="str">
            <v>03</v>
          </cell>
          <cell r="E1447" t="str">
            <v>471 99 00</v>
          </cell>
          <cell r="F1447" t="str">
            <v>001</v>
          </cell>
        </row>
        <row r="1448">
          <cell r="A1448" t="str">
            <v>Увеличение стоимости основных средств</v>
          </cell>
          <cell r="B1448" t="str">
            <v>904</v>
          </cell>
          <cell r="C1448" t="str">
            <v>09</v>
          </cell>
          <cell r="D1448" t="str">
            <v>03</v>
          </cell>
          <cell r="E1448" t="str">
            <v>471 99 00</v>
          </cell>
          <cell r="F1448" t="str">
            <v>001</v>
          </cell>
        </row>
        <row r="1449">
          <cell r="A1449" t="str">
            <v>Увеличение стоимости материальных запасов</v>
          </cell>
          <cell r="B1449" t="str">
            <v>904</v>
          </cell>
          <cell r="C1449" t="str">
            <v>09</v>
          </cell>
          <cell r="D1449" t="str">
            <v>03</v>
          </cell>
          <cell r="E1449" t="str">
            <v>471 99 00</v>
          </cell>
          <cell r="F1449" t="str">
            <v>001</v>
          </cell>
        </row>
        <row r="1450">
          <cell r="A1450" t="str">
            <v>Скорая медицинская помощь</v>
          </cell>
          <cell r="B1450" t="str">
            <v>904</v>
          </cell>
          <cell r="C1450" t="str">
            <v>09</v>
          </cell>
          <cell r="D1450" t="str">
            <v>04</v>
          </cell>
          <cell r="E1450" t="str">
            <v>000 00 00</v>
          </cell>
          <cell r="F1450" t="str">
            <v>000</v>
          </cell>
        </row>
        <row r="1451">
          <cell r="A1451" t="str">
            <v>Больницы, клиники, госпитали, медико- санитарные части </v>
          </cell>
          <cell r="B1451" t="str">
            <v>904</v>
          </cell>
          <cell r="C1451" t="str">
            <v>09</v>
          </cell>
          <cell r="D1451" t="str">
            <v>04</v>
          </cell>
          <cell r="E1451" t="str">
            <v>002 00 00</v>
          </cell>
          <cell r="F1451" t="str">
            <v>000</v>
          </cell>
        </row>
        <row r="1452">
          <cell r="A1452" t="str">
            <v>Осуществление отдельных областных государственных полномочий в области охраны здоровья граждан</v>
          </cell>
          <cell r="B1452" t="str">
            <v>904</v>
          </cell>
          <cell r="C1452" t="str">
            <v>09</v>
          </cell>
          <cell r="D1452" t="str">
            <v>04</v>
          </cell>
          <cell r="E1452" t="str">
            <v>002 52 00</v>
          </cell>
          <cell r="F1452" t="str">
            <v>000</v>
          </cell>
        </row>
        <row r="1453">
          <cell r="A1453" t="str">
            <v>Выполнение функций бюджетными учреждениями</v>
          </cell>
          <cell r="B1453" t="str">
            <v>904</v>
          </cell>
          <cell r="C1453" t="str">
            <v>09</v>
          </cell>
          <cell r="D1453" t="str">
            <v>04</v>
          </cell>
          <cell r="E1453" t="str">
            <v>002 52 00</v>
          </cell>
          <cell r="F1453" t="str">
            <v>001</v>
          </cell>
        </row>
        <row r="1454">
          <cell r="A1454" t="str">
            <v>Субсидии некоммерческим организациям</v>
          </cell>
          <cell r="B1454" t="str">
            <v>904</v>
          </cell>
          <cell r="C1454" t="str">
            <v>09</v>
          </cell>
          <cell r="D1454" t="str">
            <v>04</v>
          </cell>
          <cell r="E1454" t="str">
            <v>002 52 00</v>
          </cell>
          <cell r="F1454" t="str">
            <v>019</v>
          </cell>
        </row>
        <row r="1455">
          <cell r="A1455" t="str">
            <v>Больницы, клиники, госпитали, медико- санитарные части </v>
          </cell>
          <cell r="B1455" t="str">
            <v>904</v>
          </cell>
          <cell r="C1455" t="str">
            <v>09</v>
          </cell>
          <cell r="D1455" t="str">
            <v>04</v>
          </cell>
          <cell r="E1455" t="str">
            <v>470 00 00</v>
          </cell>
          <cell r="F1455" t="str">
            <v>000</v>
          </cell>
        </row>
        <row r="1456">
          <cell r="A1456" t="str">
            <v>Обеспечение деятельности подведомственных учреждений</v>
          </cell>
          <cell r="B1456" t="str">
            <v>904</v>
          </cell>
          <cell r="C1456" t="str">
            <v>09</v>
          </cell>
          <cell r="D1456" t="str">
            <v>04</v>
          </cell>
          <cell r="E1456" t="str">
            <v>470 99 00</v>
          </cell>
          <cell r="F1456" t="str">
            <v>000</v>
          </cell>
        </row>
        <row r="1457">
          <cell r="A1457" t="str">
            <v>Выполнение функций бюджетными учреждениями</v>
          </cell>
          <cell r="B1457" t="str">
            <v>904</v>
          </cell>
          <cell r="C1457" t="str">
            <v>09</v>
          </cell>
          <cell r="D1457" t="str">
            <v>04</v>
          </cell>
          <cell r="E1457" t="str">
            <v>470 99 00</v>
          </cell>
          <cell r="F1457" t="str">
            <v>001</v>
          </cell>
        </row>
        <row r="1458">
          <cell r="A1458" t="str">
            <v>Расходы</v>
          </cell>
          <cell r="B1458" t="str">
            <v>904</v>
          </cell>
          <cell r="C1458" t="str">
            <v>09</v>
          </cell>
          <cell r="D1458" t="str">
            <v>04</v>
          </cell>
          <cell r="E1458" t="str">
            <v>470 99 00</v>
          </cell>
          <cell r="F1458" t="str">
            <v>001</v>
          </cell>
        </row>
        <row r="1459">
          <cell r="A1459" t="str">
            <v>Оплата труда и начисления на оплату труда</v>
          </cell>
          <cell r="B1459" t="str">
            <v>904</v>
          </cell>
          <cell r="C1459" t="str">
            <v>09</v>
          </cell>
          <cell r="D1459" t="str">
            <v>04</v>
          </cell>
          <cell r="E1459" t="str">
            <v>470 99 00</v>
          </cell>
          <cell r="F1459" t="str">
            <v>001</v>
          </cell>
        </row>
        <row r="1460">
          <cell r="A1460" t="str">
            <v>Заработная плата</v>
          </cell>
          <cell r="B1460" t="str">
            <v>904</v>
          </cell>
          <cell r="C1460" t="str">
            <v>09</v>
          </cell>
          <cell r="D1460" t="str">
            <v>04</v>
          </cell>
          <cell r="E1460" t="str">
            <v>470 99 00</v>
          </cell>
          <cell r="F1460" t="str">
            <v>001</v>
          </cell>
        </row>
        <row r="1461">
          <cell r="A1461" t="str">
            <v>Прочие выплаты</v>
          </cell>
          <cell r="B1461" t="str">
            <v>904</v>
          </cell>
          <cell r="C1461" t="str">
            <v>09</v>
          </cell>
          <cell r="D1461" t="str">
            <v>04</v>
          </cell>
          <cell r="E1461" t="str">
            <v>470 99 00</v>
          </cell>
          <cell r="F1461" t="str">
            <v>001</v>
          </cell>
        </row>
        <row r="1462">
          <cell r="A1462" t="str">
            <v>Начисление на оплату труда</v>
          </cell>
          <cell r="B1462" t="str">
            <v>904</v>
          </cell>
          <cell r="C1462" t="str">
            <v>09</v>
          </cell>
          <cell r="D1462" t="str">
            <v>04</v>
          </cell>
          <cell r="E1462" t="str">
            <v>470 99 00</v>
          </cell>
          <cell r="F1462" t="str">
            <v>001</v>
          </cell>
        </row>
        <row r="1463">
          <cell r="A1463" t="str">
            <v>Приобретение услуг</v>
          </cell>
          <cell r="B1463" t="str">
            <v>904</v>
          </cell>
          <cell r="C1463" t="str">
            <v>09</v>
          </cell>
          <cell r="D1463" t="str">
            <v>04</v>
          </cell>
          <cell r="E1463" t="str">
            <v>470 99 00</v>
          </cell>
          <cell r="F1463" t="str">
            <v>001</v>
          </cell>
        </row>
        <row r="1464">
          <cell r="A1464" t="str">
            <v>Услуги связи </v>
          </cell>
          <cell r="B1464" t="str">
            <v>904</v>
          </cell>
          <cell r="C1464" t="str">
            <v>09</v>
          </cell>
          <cell r="D1464" t="str">
            <v>04</v>
          </cell>
          <cell r="E1464" t="str">
            <v>470 99 00</v>
          </cell>
          <cell r="F1464" t="str">
            <v>001</v>
          </cell>
        </row>
        <row r="1465">
          <cell r="A1465" t="str">
            <v>Транспортные услуги</v>
          </cell>
          <cell r="B1465" t="str">
            <v>904</v>
          </cell>
          <cell r="C1465" t="str">
            <v>09</v>
          </cell>
          <cell r="D1465" t="str">
            <v>04</v>
          </cell>
          <cell r="E1465" t="str">
            <v>470 99 00</v>
          </cell>
          <cell r="F1465" t="str">
            <v>001</v>
          </cell>
        </row>
        <row r="1466">
          <cell r="A1466" t="str">
            <v>Коммунальные услуги</v>
          </cell>
          <cell r="B1466" t="str">
            <v>904</v>
          </cell>
          <cell r="C1466" t="str">
            <v>09</v>
          </cell>
          <cell r="D1466" t="str">
            <v>04</v>
          </cell>
          <cell r="E1466" t="str">
            <v>470 99 00</v>
          </cell>
          <cell r="F1466" t="str">
            <v>001</v>
          </cell>
        </row>
        <row r="1467">
          <cell r="A1467" t="str">
            <v>Арендная плата за пользование иммуществом </v>
          </cell>
          <cell r="B1467" t="str">
            <v>904</v>
          </cell>
          <cell r="C1467" t="str">
            <v>09</v>
          </cell>
          <cell r="D1467" t="str">
            <v>04</v>
          </cell>
          <cell r="E1467" t="str">
            <v>470 99 00</v>
          </cell>
          <cell r="F1467" t="str">
            <v>001</v>
          </cell>
        </row>
        <row r="1468">
          <cell r="A1468" t="str">
            <v>Услуги по содержанию иммущества</v>
          </cell>
          <cell r="B1468" t="str">
            <v>904</v>
          </cell>
          <cell r="C1468" t="str">
            <v>09</v>
          </cell>
          <cell r="D1468" t="str">
            <v>04</v>
          </cell>
          <cell r="E1468" t="str">
            <v>470 99 00</v>
          </cell>
          <cell r="F1468" t="str">
            <v>001</v>
          </cell>
        </row>
        <row r="1469">
          <cell r="A1469" t="str">
            <v>Прочие услуги</v>
          </cell>
          <cell r="B1469" t="str">
            <v>904</v>
          </cell>
          <cell r="C1469" t="str">
            <v>09</v>
          </cell>
          <cell r="D1469" t="str">
            <v>04</v>
          </cell>
          <cell r="E1469" t="str">
            <v>470 99 00</v>
          </cell>
          <cell r="F1469" t="str">
            <v>001</v>
          </cell>
        </row>
        <row r="1470">
          <cell r="A1470" t="str">
            <v>Прочие расходы </v>
          </cell>
          <cell r="B1470" t="str">
            <v>904</v>
          </cell>
          <cell r="C1470" t="str">
            <v>09</v>
          </cell>
          <cell r="D1470" t="str">
            <v>04</v>
          </cell>
          <cell r="E1470" t="str">
            <v>470 99 00</v>
          </cell>
          <cell r="F1470" t="str">
            <v>001</v>
          </cell>
        </row>
        <row r="1471">
          <cell r="A1471" t="str">
            <v>Поступление нефинансовых активов</v>
          </cell>
          <cell r="B1471" t="str">
            <v>904</v>
          </cell>
          <cell r="C1471" t="str">
            <v>09</v>
          </cell>
          <cell r="D1471" t="str">
            <v>04</v>
          </cell>
          <cell r="E1471" t="str">
            <v>470 99 00</v>
          </cell>
          <cell r="F1471" t="str">
            <v>001</v>
          </cell>
        </row>
        <row r="1472">
          <cell r="A1472" t="str">
            <v>Увеличение стоимости основных средств</v>
          </cell>
          <cell r="B1472" t="str">
            <v>904</v>
          </cell>
          <cell r="C1472" t="str">
            <v>09</v>
          </cell>
          <cell r="D1472" t="str">
            <v>04</v>
          </cell>
          <cell r="E1472" t="str">
            <v>470 99 00</v>
          </cell>
          <cell r="F1472" t="str">
            <v>001</v>
          </cell>
        </row>
        <row r="1473">
          <cell r="A1473" t="str">
            <v>Увеличение стоимости материальных запасов</v>
          </cell>
          <cell r="B1473" t="str">
            <v>904</v>
          </cell>
          <cell r="C1473" t="str">
            <v>09</v>
          </cell>
          <cell r="D1473" t="str">
            <v>04</v>
          </cell>
          <cell r="E1473" t="str">
            <v>470 99 00</v>
          </cell>
          <cell r="F1473" t="str">
            <v>001</v>
          </cell>
        </row>
        <row r="1474">
          <cell r="A1474" t="str">
            <v>Субсидии некоммерческим организациям</v>
          </cell>
          <cell r="B1474" t="str">
            <v>904</v>
          </cell>
          <cell r="C1474" t="str">
            <v>09</v>
          </cell>
          <cell r="D1474" t="str">
            <v>04</v>
          </cell>
          <cell r="E1474" t="str">
            <v>470 99 00</v>
          </cell>
          <cell r="F1474" t="str">
            <v>019</v>
          </cell>
        </row>
        <row r="1475">
          <cell r="A1475" t="str">
            <v>Иные безвозмездные и безвозвратные перечисления </v>
          </cell>
          <cell r="B1475" t="str">
            <v>904</v>
          </cell>
          <cell r="C1475" t="str">
            <v>09</v>
          </cell>
          <cell r="D1475" t="str">
            <v>04</v>
          </cell>
          <cell r="E1475" t="str">
            <v>520 00 00</v>
          </cell>
          <cell r="F1475" t="str">
            <v>000 </v>
          </cell>
        </row>
        <row r="1476">
          <cell r="A1476" t="str">
            <v>Денежные выплаты медицинскому персоналу фельдшерско-акушерских пунктов, врачам, фельдшерам и медицинским сестрам скорой медицинской помощи</v>
          </cell>
          <cell r="B1476" t="str">
            <v>904</v>
          </cell>
          <cell r="C1476" t="str">
            <v>09</v>
          </cell>
          <cell r="D1476" t="str">
            <v>04</v>
          </cell>
          <cell r="E1476" t="str">
            <v>520 18 00</v>
          </cell>
          <cell r="F1476" t="str">
            <v>000</v>
          </cell>
        </row>
        <row r="1477">
          <cell r="A1477" t="str">
            <v>Выполнение функций бюджетными учреждениями</v>
          </cell>
          <cell r="B1477" t="str">
            <v>904</v>
          </cell>
          <cell r="C1477" t="str">
            <v>09</v>
          </cell>
          <cell r="D1477" t="str">
            <v>04</v>
          </cell>
          <cell r="E1477" t="str">
            <v>520 18 00</v>
          </cell>
          <cell r="F1477" t="str">
            <v>001</v>
          </cell>
        </row>
        <row r="1478">
          <cell r="A1478" t="str">
            <v>Расходы</v>
          </cell>
          <cell r="B1478" t="str">
            <v>904</v>
          </cell>
          <cell r="C1478" t="str">
            <v>09</v>
          </cell>
          <cell r="D1478" t="str">
            <v>04</v>
          </cell>
          <cell r="E1478" t="str">
            <v>520 18 00</v>
          </cell>
          <cell r="F1478" t="str">
            <v>001</v>
          </cell>
        </row>
        <row r="1479">
          <cell r="A1479" t="str">
            <v>Оплата труда и начисления на оплату труда</v>
          </cell>
          <cell r="B1479" t="str">
            <v>904</v>
          </cell>
          <cell r="C1479" t="str">
            <v>09</v>
          </cell>
          <cell r="D1479" t="str">
            <v>04</v>
          </cell>
          <cell r="E1479" t="str">
            <v>520 18 00</v>
          </cell>
          <cell r="F1479" t="str">
            <v>001</v>
          </cell>
        </row>
        <row r="1480">
          <cell r="A1480" t="str">
            <v>Заработная плата</v>
          </cell>
          <cell r="B1480" t="str">
            <v>904</v>
          </cell>
          <cell r="C1480" t="str">
            <v>09</v>
          </cell>
          <cell r="D1480" t="str">
            <v>04</v>
          </cell>
          <cell r="E1480" t="str">
            <v>520 18 00</v>
          </cell>
          <cell r="F1480" t="str">
            <v>001</v>
          </cell>
        </row>
        <row r="1481">
          <cell r="A1481" t="str">
            <v>Начисление на оплату труда</v>
          </cell>
          <cell r="B1481" t="str">
            <v>904</v>
          </cell>
          <cell r="C1481" t="str">
            <v>09</v>
          </cell>
          <cell r="D1481" t="str">
            <v>04</v>
          </cell>
          <cell r="E1481" t="str">
            <v>520 18 00</v>
          </cell>
          <cell r="F1481" t="str">
            <v>001</v>
          </cell>
        </row>
        <row r="1482">
          <cell r="A1482" t="str">
            <v>Обеспечение оказания дополнительной медицинской помощи, оказываемой врачами- терапевтами участковыми, врачами-педиаторами участковыми,и т.п.</v>
          </cell>
          <cell r="B1482" t="str">
            <v>904</v>
          </cell>
          <cell r="C1482" t="str">
            <v>09</v>
          </cell>
          <cell r="D1482" t="str">
            <v>02</v>
          </cell>
          <cell r="E1482" t="str">
            <v>520 21 00</v>
          </cell>
          <cell r="F1482" t="str">
            <v>001</v>
          </cell>
        </row>
        <row r="1483">
          <cell r="A1483" t="str">
            <v>Оплата труда и начисления на оплату труда</v>
          </cell>
          <cell r="B1483" t="str">
            <v>904</v>
          </cell>
          <cell r="C1483" t="str">
            <v>09</v>
          </cell>
          <cell r="D1483" t="str">
            <v>02</v>
          </cell>
          <cell r="E1483" t="str">
            <v>520 21 00</v>
          </cell>
          <cell r="F1483" t="str">
            <v>001</v>
          </cell>
        </row>
        <row r="1484">
          <cell r="A1484" t="str">
            <v>Заработная плата</v>
          </cell>
          <cell r="B1484" t="str">
            <v>904</v>
          </cell>
          <cell r="C1484" t="str">
            <v>09</v>
          </cell>
          <cell r="D1484" t="str">
            <v>02</v>
          </cell>
          <cell r="E1484" t="str">
            <v>520 21 00</v>
          </cell>
          <cell r="F1484" t="str">
            <v>001</v>
          </cell>
        </row>
        <row r="1485">
          <cell r="A1485" t="str">
            <v>Начисление на оплату труда</v>
          </cell>
          <cell r="B1485" t="str">
            <v>904</v>
          </cell>
          <cell r="C1485" t="str">
            <v>09</v>
          </cell>
          <cell r="D1485" t="str">
            <v>02</v>
          </cell>
          <cell r="E1485" t="str">
            <v>520 21 00</v>
          </cell>
          <cell r="F1485" t="str">
            <v>001</v>
          </cell>
        </row>
        <row r="1486">
          <cell r="A1486" t="str">
            <v>Спорт и физическая культура</v>
          </cell>
          <cell r="B1486" t="str">
            <v>904</v>
          </cell>
          <cell r="C1486" t="str">
            <v>09</v>
          </cell>
          <cell r="D1486" t="str">
            <v>08</v>
          </cell>
          <cell r="E1486" t="str">
            <v>000 00 00</v>
          </cell>
          <cell r="F1486" t="str">
            <v>000</v>
          </cell>
        </row>
        <row r="1487">
          <cell r="A1487" t="str">
            <v>Центры спортивной подготовки (сборные команды) </v>
          </cell>
          <cell r="B1487" t="str">
            <v>904</v>
          </cell>
          <cell r="C1487" t="str">
            <v>09</v>
          </cell>
          <cell r="D1487" t="str">
            <v>08</v>
          </cell>
          <cell r="E1487" t="str">
            <v>482 00 00</v>
          </cell>
          <cell r="F1487" t="str">
            <v>000</v>
          </cell>
        </row>
        <row r="1488">
          <cell r="A1488" t="str">
            <v>Обеспечение детельности  подведомственных учреждений </v>
          </cell>
          <cell r="B1488" t="str">
            <v>904</v>
          </cell>
          <cell r="C1488" t="str">
            <v>09</v>
          </cell>
          <cell r="D1488" t="str">
            <v>08</v>
          </cell>
          <cell r="E1488" t="str">
            <v>482 99 00</v>
          </cell>
          <cell r="F1488" t="str">
            <v>000</v>
          </cell>
        </row>
        <row r="1489">
          <cell r="A1489" t="str">
            <v>Выполнение функций бюджетными учреждениями</v>
          </cell>
          <cell r="B1489" t="str">
            <v>904</v>
          </cell>
          <cell r="C1489" t="str">
            <v>09</v>
          </cell>
          <cell r="D1489" t="str">
            <v>08</v>
          </cell>
          <cell r="E1489" t="str">
            <v>482 99 00</v>
          </cell>
          <cell r="F1489" t="str">
            <v>001</v>
          </cell>
        </row>
        <row r="1490">
          <cell r="A1490" t="str">
            <v>Расходы</v>
          </cell>
          <cell r="B1490" t="str">
            <v>904</v>
          </cell>
          <cell r="C1490" t="str">
            <v>09</v>
          </cell>
          <cell r="D1490" t="str">
            <v>08</v>
          </cell>
          <cell r="E1490" t="str">
            <v>482 99 00</v>
          </cell>
          <cell r="F1490" t="str">
            <v>001</v>
          </cell>
        </row>
        <row r="1491">
          <cell r="A1491" t="str">
            <v>Оплата труда и начисления на оплату труда</v>
          </cell>
          <cell r="B1491" t="str">
            <v>904</v>
          </cell>
          <cell r="C1491" t="str">
            <v>09</v>
          </cell>
          <cell r="D1491" t="str">
            <v>08</v>
          </cell>
          <cell r="E1491" t="str">
            <v>482 99 00</v>
          </cell>
          <cell r="F1491" t="str">
            <v>001</v>
          </cell>
        </row>
        <row r="1492">
          <cell r="A1492" t="str">
            <v>Заработная плата</v>
          </cell>
          <cell r="B1492" t="str">
            <v>904</v>
          </cell>
          <cell r="C1492" t="str">
            <v>09</v>
          </cell>
          <cell r="D1492" t="str">
            <v>08</v>
          </cell>
          <cell r="E1492" t="str">
            <v>482 99 00</v>
          </cell>
          <cell r="F1492" t="str">
            <v>001</v>
          </cell>
        </row>
        <row r="1493">
          <cell r="A1493" t="str">
            <v>Прочие выплаты</v>
          </cell>
          <cell r="B1493" t="str">
            <v>904</v>
          </cell>
          <cell r="C1493" t="str">
            <v>09</v>
          </cell>
          <cell r="D1493" t="str">
            <v>08</v>
          </cell>
          <cell r="E1493" t="str">
            <v>482 99 00</v>
          </cell>
          <cell r="F1493" t="str">
            <v>001</v>
          </cell>
        </row>
        <row r="1494">
          <cell r="A1494" t="str">
            <v>Начисление на оплату труда</v>
          </cell>
          <cell r="B1494" t="str">
            <v>904</v>
          </cell>
          <cell r="C1494" t="str">
            <v>09</v>
          </cell>
          <cell r="D1494" t="str">
            <v>08</v>
          </cell>
          <cell r="E1494" t="str">
            <v>482 99 00</v>
          </cell>
          <cell r="F1494" t="str">
            <v>001</v>
          </cell>
        </row>
        <row r="1495">
          <cell r="A1495" t="str">
            <v>Приобретение услуг</v>
          </cell>
          <cell r="B1495" t="str">
            <v>904</v>
          </cell>
          <cell r="C1495" t="str">
            <v>09</v>
          </cell>
          <cell r="D1495" t="str">
            <v>08</v>
          </cell>
          <cell r="E1495" t="str">
            <v>482 99 00</v>
          </cell>
          <cell r="F1495" t="str">
            <v>001</v>
          </cell>
        </row>
        <row r="1496">
          <cell r="A1496" t="str">
            <v>Услуги связи </v>
          </cell>
          <cell r="B1496" t="str">
            <v>904</v>
          </cell>
          <cell r="C1496" t="str">
            <v>09</v>
          </cell>
          <cell r="D1496" t="str">
            <v>08</v>
          </cell>
          <cell r="E1496" t="str">
            <v>482 99 00</v>
          </cell>
          <cell r="F1496" t="str">
            <v>001</v>
          </cell>
        </row>
        <row r="1497">
          <cell r="A1497" t="str">
            <v>Транспортные услуги</v>
          </cell>
          <cell r="B1497" t="str">
            <v>904</v>
          </cell>
          <cell r="C1497" t="str">
            <v>09</v>
          </cell>
          <cell r="D1497" t="str">
            <v>08</v>
          </cell>
          <cell r="E1497" t="str">
            <v>482 99 00</v>
          </cell>
          <cell r="F1497" t="str">
            <v>001</v>
          </cell>
        </row>
        <row r="1498">
          <cell r="A1498" t="str">
            <v>Коммунальные услуги</v>
          </cell>
          <cell r="B1498" t="str">
            <v>904</v>
          </cell>
          <cell r="C1498" t="str">
            <v>09</v>
          </cell>
          <cell r="D1498" t="str">
            <v>08</v>
          </cell>
          <cell r="E1498" t="str">
            <v>482 99 00</v>
          </cell>
          <cell r="F1498" t="str">
            <v>001</v>
          </cell>
        </row>
        <row r="1499">
          <cell r="A1499" t="str">
            <v>Арендная плата за пользование иммуществом </v>
          </cell>
          <cell r="B1499" t="str">
            <v>904</v>
          </cell>
          <cell r="C1499" t="str">
            <v>09</v>
          </cell>
          <cell r="D1499" t="str">
            <v>08</v>
          </cell>
          <cell r="E1499" t="str">
            <v>482 99 00</v>
          </cell>
          <cell r="F1499" t="str">
            <v>001</v>
          </cell>
        </row>
        <row r="1500">
          <cell r="A1500" t="str">
            <v>Услуги по содержанию иммущества</v>
          </cell>
          <cell r="B1500" t="str">
            <v>904</v>
          </cell>
          <cell r="C1500" t="str">
            <v>09</v>
          </cell>
          <cell r="D1500" t="str">
            <v>08</v>
          </cell>
          <cell r="E1500" t="str">
            <v>482 99 00</v>
          </cell>
          <cell r="F1500" t="str">
            <v>001</v>
          </cell>
        </row>
        <row r="1501">
          <cell r="A1501" t="str">
            <v>Прочие услуги</v>
          </cell>
          <cell r="B1501" t="str">
            <v>904</v>
          </cell>
          <cell r="C1501" t="str">
            <v>09</v>
          </cell>
          <cell r="D1501" t="str">
            <v>08</v>
          </cell>
          <cell r="E1501" t="str">
            <v>482 99 00</v>
          </cell>
          <cell r="F1501" t="str">
            <v>001</v>
          </cell>
        </row>
        <row r="1502">
          <cell r="A1502" t="str">
            <v>Прочие расходы </v>
          </cell>
          <cell r="B1502" t="str">
            <v>904</v>
          </cell>
          <cell r="C1502" t="str">
            <v>09</v>
          </cell>
          <cell r="D1502" t="str">
            <v>08</v>
          </cell>
          <cell r="E1502" t="str">
            <v>482 99 00</v>
          </cell>
          <cell r="F1502" t="str">
            <v>001</v>
          </cell>
        </row>
        <row r="1503">
          <cell r="A1503" t="str">
            <v>Поступление нефинансовых активов</v>
          </cell>
          <cell r="B1503" t="str">
            <v>904</v>
          </cell>
          <cell r="C1503" t="str">
            <v>09</v>
          </cell>
          <cell r="D1503" t="str">
            <v>08</v>
          </cell>
          <cell r="E1503" t="str">
            <v>482 99 00</v>
          </cell>
          <cell r="F1503" t="str">
            <v>001</v>
          </cell>
        </row>
        <row r="1504">
          <cell r="A1504" t="str">
            <v>Увеличение стоимости основных средств</v>
          </cell>
          <cell r="B1504" t="str">
            <v>904</v>
          </cell>
          <cell r="C1504" t="str">
            <v>09</v>
          </cell>
          <cell r="D1504" t="str">
            <v>08</v>
          </cell>
          <cell r="E1504" t="str">
            <v>482 99 00</v>
          </cell>
          <cell r="F1504" t="str">
            <v>001</v>
          </cell>
        </row>
        <row r="1505">
          <cell r="A1505" t="str">
            <v>Увеличение стоимости материальных запасов</v>
          </cell>
          <cell r="B1505" t="str">
            <v>904</v>
          </cell>
          <cell r="C1505" t="str">
            <v>09</v>
          </cell>
          <cell r="D1505" t="str">
            <v>08</v>
          </cell>
          <cell r="E1505" t="str">
            <v>482 99 00</v>
          </cell>
          <cell r="F1505" t="str">
            <v>001</v>
          </cell>
        </row>
        <row r="1506">
          <cell r="A1506" t="str">
            <v>Физкультурно-оздоровительная работа и спортивные мероприятия</v>
          </cell>
          <cell r="B1506" t="str">
            <v>904</v>
          </cell>
          <cell r="C1506" t="str">
            <v>09</v>
          </cell>
          <cell r="D1506" t="str">
            <v>08</v>
          </cell>
          <cell r="E1506" t="str">
            <v>512 00 00</v>
          </cell>
          <cell r="F1506" t="str">
            <v>000</v>
          </cell>
        </row>
        <row r="1507">
          <cell r="A1507" t="str">
            <v>Мероприятия в области здравоохранения, спорта и физической культуры, туризма </v>
          </cell>
          <cell r="B1507" t="str">
            <v>904</v>
          </cell>
          <cell r="C1507" t="str">
            <v>09</v>
          </cell>
          <cell r="D1507" t="str">
            <v>08</v>
          </cell>
          <cell r="E1507" t="str">
            <v>512 97 00</v>
          </cell>
          <cell r="F1507" t="str">
            <v>000</v>
          </cell>
        </row>
        <row r="1508">
          <cell r="A1508" t="str">
            <v>Выполнение функций органами местного самоуправления</v>
          </cell>
          <cell r="B1508" t="str">
            <v>904</v>
          </cell>
          <cell r="C1508" t="str">
            <v>09</v>
          </cell>
          <cell r="D1508" t="str">
            <v>08</v>
          </cell>
          <cell r="E1508" t="str">
            <v>512 97 00</v>
          </cell>
          <cell r="F1508" t="str">
            <v>500</v>
          </cell>
        </row>
        <row r="1509">
          <cell r="A1509" t="str">
            <v>Расходы</v>
          </cell>
          <cell r="B1509" t="str">
            <v>904</v>
          </cell>
          <cell r="C1509" t="str">
            <v>09</v>
          </cell>
          <cell r="D1509" t="str">
            <v>08</v>
          </cell>
          <cell r="E1509" t="str">
            <v>512 97 00</v>
          </cell>
          <cell r="F1509" t="str">
            <v>500</v>
          </cell>
        </row>
        <row r="1510">
          <cell r="A1510" t="str">
            <v>Приобретение услуг</v>
          </cell>
          <cell r="B1510" t="str">
            <v>904</v>
          </cell>
          <cell r="C1510" t="str">
            <v>09</v>
          </cell>
          <cell r="D1510" t="str">
            <v>08</v>
          </cell>
          <cell r="E1510" t="str">
            <v>512 97 00</v>
          </cell>
          <cell r="F1510" t="str">
            <v>500</v>
          </cell>
        </row>
        <row r="1511">
          <cell r="A1511" t="str">
            <v>Транспортные услуги</v>
          </cell>
          <cell r="B1511" t="str">
            <v>902</v>
          </cell>
          <cell r="C1511" t="str">
            <v>09</v>
          </cell>
          <cell r="D1511" t="str">
            <v>08</v>
          </cell>
          <cell r="E1511" t="str">
            <v>512 97 00</v>
          </cell>
          <cell r="F1511" t="str">
            <v>500</v>
          </cell>
        </row>
        <row r="1512">
          <cell r="A1512" t="str">
            <v>Прочие услуги</v>
          </cell>
          <cell r="B1512" t="str">
            <v>902</v>
          </cell>
          <cell r="C1512" t="str">
            <v>09</v>
          </cell>
          <cell r="D1512" t="str">
            <v>08</v>
          </cell>
          <cell r="E1512" t="str">
            <v>512 97 00</v>
          </cell>
          <cell r="F1512" t="str">
            <v>500</v>
          </cell>
        </row>
        <row r="1513">
          <cell r="A1513" t="str">
            <v>Прочие расходы</v>
          </cell>
          <cell r="B1513" t="str">
            <v>902</v>
          </cell>
          <cell r="C1513" t="str">
            <v>09</v>
          </cell>
          <cell r="D1513" t="str">
            <v>08</v>
          </cell>
          <cell r="E1513" t="str">
            <v>512 97 00</v>
          </cell>
          <cell r="F1513" t="str">
            <v>500</v>
          </cell>
        </row>
        <row r="1514">
          <cell r="A1514" t="str">
            <v>Прочие услуги</v>
          </cell>
          <cell r="B1514" t="str">
            <v>902</v>
          </cell>
          <cell r="C1514" t="str">
            <v>09</v>
          </cell>
          <cell r="D1514" t="str">
            <v>08</v>
          </cell>
          <cell r="E1514" t="str">
            <v>512 97 00</v>
          </cell>
          <cell r="F1514" t="str">
            <v>500</v>
          </cell>
        </row>
        <row r="1515">
          <cell r="A1515" t="str">
            <v>Прочие расходы</v>
          </cell>
          <cell r="B1515" t="str">
            <v>904</v>
          </cell>
          <cell r="C1515" t="str">
            <v>09</v>
          </cell>
          <cell r="D1515" t="str">
            <v>08</v>
          </cell>
          <cell r="E1515" t="str">
            <v>512 97 00</v>
          </cell>
          <cell r="F1515" t="str">
            <v>500</v>
          </cell>
        </row>
        <row r="1516">
          <cell r="A1516" t="str">
            <v>Прочие расходы</v>
          </cell>
          <cell r="B1516" t="str">
            <v>902</v>
          </cell>
          <cell r="C1516" t="str">
            <v>09</v>
          </cell>
          <cell r="D1516" t="str">
            <v>08</v>
          </cell>
          <cell r="E1516" t="str">
            <v>512 97 00</v>
          </cell>
          <cell r="F1516" t="str">
            <v>500</v>
          </cell>
        </row>
        <row r="1517">
          <cell r="A1517" t="str">
            <v>Поступление нефинансовых активов</v>
          </cell>
          <cell r="B1517" t="str">
            <v>904</v>
          </cell>
          <cell r="C1517" t="str">
            <v>09</v>
          </cell>
          <cell r="D1517" t="str">
            <v>08</v>
          </cell>
          <cell r="E1517" t="str">
            <v>512 97 00</v>
          </cell>
          <cell r="F1517" t="str">
            <v>500</v>
          </cell>
        </row>
        <row r="1518">
          <cell r="A1518" t="str">
            <v>Увеличение стоимости материальных запасов </v>
          </cell>
          <cell r="B1518" t="str">
            <v>906</v>
          </cell>
          <cell r="C1518" t="str">
            <v>09</v>
          </cell>
          <cell r="D1518" t="str">
            <v>08</v>
          </cell>
          <cell r="E1518" t="str">
            <v>512 97 00</v>
          </cell>
          <cell r="F1518" t="str">
            <v>500</v>
          </cell>
        </row>
        <row r="1519">
          <cell r="A1519" t="str">
            <v>Региональные целевые программы</v>
          </cell>
          <cell r="B1519" t="str">
            <v>907</v>
          </cell>
          <cell r="C1519" t="str">
            <v>09</v>
          </cell>
          <cell r="D1519" t="str">
            <v>08</v>
          </cell>
          <cell r="E1519" t="str">
            <v>512 97 00</v>
          </cell>
          <cell r="F1519" t="str">
            <v>500</v>
          </cell>
        </row>
        <row r="1520">
          <cell r="A1520" t="str">
            <v>Мероприятия в области здравоохранения, спорта и физической культуры </v>
          </cell>
          <cell r="B1520" t="str">
            <v>908</v>
          </cell>
          <cell r="C1520" t="str">
            <v>09</v>
          </cell>
          <cell r="D1520" t="str">
            <v>08</v>
          </cell>
          <cell r="E1520" t="str">
            <v>512 97 00</v>
          </cell>
          <cell r="F1520" t="str">
            <v>500</v>
          </cell>
        </row>
        <row r="1521">
          <cell r="A1521" t="str">
            <v>Прочие услуги </v>
          </cell>
          <cell r="B1521" t="str">
            <v>909</v>
          </cell>
          <cell r="C1521" t="str">
            <v>09</v>
          </cell>
          <cell r="D1521" t="str">
            <v>08</v>
          </cell>
          <cell r="E1521" t="str">
            <v>512 97 00</v>
          </cell>
          <cell r="F1521" t="str">
            <v>500</v>
          </cell>
        </row>
        <row r="1522">
          <cell r="A1522" t="str">
            <v>Увеличение стоимости материальных запасов</v>
          </cell>
          <cell r="B1522" t="str">
            <v>910</v>
          </cell>
          <cell r="C1522" t="str">
            <v>09</v>
          </cell>
          <cell r="D1522" t="str">
            <v>08</v>
          </cell>
          <cell r="E1522" t="str">
            <v>512 97 00</v>
          </cell>
          <cell r="F1522" t="str">
            <v>500</v>
          </cell>
        </row>
        <row r="1523">
          <cell r="A1523" t="str">
            <v>Увеличение стоимости материальных запасов</v>
          </cell>
          <cell r="B1523" t="str">
            <v>904</v>
          </cell>
          <cell r="C1523" t="str">
            <v>09</v>
          </cell>
          <cell r="D1523" t="str">
            <v>08</v>
          </cell>
          <cell r="E1523" t="str">
            <v>512 97 00</v>
          </cell>
          <cell r="F1523" t="str">
            <v>500</v>
          </cell>
        </row>
        <row r="1524">
          <cell r="A1524" t="str">
            <v>Целевые программы муниципальных образований </v>
          </cell>
          <cell r="B1524" t="str">
            <v>901</v>
          </cell>
          <cell r="C1524" t="str">
            <v>09</v>
          </cell>
          <cell r="D1524" t="str">
            <v>08</v>
          </cell>
          <cell r="E1524" t="str">
            <v>795 00 00</v>
          </cell>
          <cell r="F1524" t="str">
            <v>500</v>
          </cell>
        </row>
        <row r="1525">
          <cell r="A1525" t="str">
            <v>Мероприятие в области здравоохранения, спорта и физической культуры, туризма</v>
          </cell>
          <cell r="B1525" t="str">
            <v>901</v>
          </cell>
          <cell r="C1525" t="str">
            <v>09</v>
          </cell>
          <cell r="D1525" t="str">
            <v>08</v>
          </cell>
          <cell r="E1525" t="str">
            <v>795 00 00</v>
          </cell>
          <cell r="F1525" t="str">
            <v>500</v>
          </cell>
        </row>
        <row r="1526">
          <cell r="A1526" t="str">
            <v>Прочие услуги</v>
          </cell>
          <cell r="B1526" t="str">
            <v>901</v>
          </cell>
          <cell r="C1526" t="str">
            <v>09</v>
          </cell>
          <cell r="D1526" t="str">
            <v>08</v>
          </cell>
          <cell r="E1526" t="str">
            <v>795 00 00</v>
          </cell>
          <cell r="F1526" t="str">
            <v>500</v>
          </cell>
        </row>
        <row r="1527">
          <cell r="A1527" t="str">
            <v>Увеличение стоимости материальных запасов </v>
          </cell>
          <cell r="B1527" t="str">
            <v>901</v>
          </cell>
          <cell r="C1527" t="str">
            <v>09</v>
          </cell>
          <cell r="D1527" t="str">
            <v>08</v>
          </cell>
          <cell r="E1527" t="str">
            <v>795 00 00</v>
          </cell>
          <cell r="F1527" t="str">
            <v>500</v>
          </cell>
        </row>
        <row r="1528">
          <cell r="A1528" t="str">
            <v>Увеличение стоимости материальных запасов</v>
          </cell>
          <cell r="B1528" t="str">
            <v>902</v>
          </cell>
          <cell r="C1528" t="str">
            <v>09</v>
          </cell>
          <cell r="D1528" t="str">
            <v>08</v>
          </cell>
          <cell r="E1528" t="str">
            <v>512 97 00</v>
          </cell>
          <cell r="F1528" t="str">
            <v>500</v>
          </cell>
        </row>
        <row r="1529">
          <cell r="A1529" t="str">
            <v>Субсидии некоммерческим организациям</v>
          </cell>
          <cell r="B1529" t="str">
            <v>904</v>
          </cell>
          <cell r="C1529" t="str">
            <v>09</v>
          </cell>
          <cell r="D1529" t="str">
            <v>04</v>
          </cell>
          <cell r="E1529" t="str">
            <v>520 18 00</v>
          </cell>
          <cell r="F1529" t="str">
            <v>019</v>
          </cell>
        </row>
        <row r="1530">
          <cell r="A1530" t="str">
            <v>Другие вопросы в области здравоохранения, физической культуры и спорта</v>
          </cell>
          <cell r="B1530" t="str">
            <v>904</v>
          </cell>
          <cell r="C1530" t="str">
            <v>09</v>
          </cell>
          <cell r="D1530" t="str">
            <v>09</v>
          </cell>
          <cell r="E1530" t="str">
            <v>000 00 00</v>
          </cell>
          <cell r="F1530" t="str">
            <v>000</v>
          </cell>
        </row>
        <row r="1531">
          <cell r="A1531" t="str">
            <v>Руководство и управление в сфере установленных функций органов государственной власти субъектов РФ и органов местного самоуправления</v>
          </cell>
          <cell r="B1531" t="str">
            <v>904</v>
          </cell>
          <cell r="C1531" t="str">
            <v>09</v>
          </cell>
          <cell r="D1531" t="str">
            <v>09</v>
          </cell>
          <cell r="E1531" t="str">
            <v>002 00 00</v>
          </cell>
          <cell r="F1531" t="str">
            <v>000</v>
          </cell>
        </row>
        <row r="1532">
          <cell r="A1532" t="str">
            <v>Центральный аппарат</v>
          </cell>
          <cell r="B1532" t="str">
            <v>904</v>
          </cell>
          <cell r="C1532" t="str">
            <v>09</v>
          </cell>
          <cell r="D1532" t="str">
            <v>09</v>
          </cell>
          <cell r="E1532" t="str">
            <v>002 04 00</v>
          </cell>
          <cell r="F1532" t="str">
            <v>000</v>
          </cell>
        </row>
        <row r="1533">
          <cell r="A1533" t="str">
            <v>Выполнение функций органами местного самоуправления</v>
          </cell>
          <cell r="B1533" t="str">
            <v>904</v>
          </cell>
          <cell r="C1533" t="str">
            <v>09</v>
          </cell>
          <cell r="D1533" t="str">
            <v>09</v>
          </cell>
          <cell r="E1533" t="str">
            <v>002 04 00</v>
          </cell>
          <cell r="F1533" t="str">
            <v>500</v>
          </cell>
        </row>
        <row r="1534">
          <cell r="A1534" t="str">
            <v>Расходы</v>
          </cell>
          <cell r="B1534" t="str">
            <v>904</v>
          </cell>
          <cell r="C1534" t="str">
            <v>09</v>
          </cell>
          <cell r="D1534" t="str">
            <v>09</v>
          </cell>
          <cell r="E1534" t="str">
            <v>002 04 00</v>
          </cell>
          <cell r="F1534" t="str">
            <v>500</v>
          </cell>
        </row>
        <row r="1535">
          <cell r="A1535" t="str">
            <v>Оплата труда и начисления на оплату труда</v>
          </cell>
          <cell r="B1535" t="str">
            <v>904</v>
          </cell>
          <cell r="C1535" t="str">
            <v>09</v>
          </cell>
          <cell r="D1535" t="str">
            <v>09</v>
          </cell>
          <cell r="E1535" t="str">
            <v>002 04 00</v>
          </cell>
          <cell r="F1535" t="str">
            <v>500</v>
          </cell>
        </row>
        <row r="1536">
          <cell r="A1536" t="str">
            <v>Заработная плата</v>
          </cell>
          <cell r="B1536" t="str">
            <v>904</v>
          </cell>
          <cell r="C1536" t="str">
            <v>09</v>
          </cell>
          <cell r="D1536" t="str">
            <v>09</v>
          </cell>
          <cell r="E1536" t="str">
            <v>002 04 00</v>
          </cell>
          <cell r="F1536" t="str">
            <v>500</v>
          </cell>
        </row>
        <row r="1537">
          <cell r="A1537" t="str">
            <v>Прочие выплаты</v>
          </cell>
          <cell r="B1537" t="str">
            <v>904</v>
          </cell>
          <cell r="C1537" t="str">
            <v>09</v>
          </cell>
          <cell r="D1537" t="str">
            <v>09</v>
          </cell>
          <cell r="E1537" t="str">
            <v>002 04 00</v>
          </cell>
          <cell r="F1537" t="str">
            <v>500</v>
          </cell>
        </row>
        <row r="1538">
          <cell r="A1538" t="str">
            <v>Начисление на оплату труда</v>
          </cell>
          <cell r="B1538" t="str">
            <v>904</v>
          </cell>
          <cell r="C1538" t="str">
            <v>09</v>
          </cell>
          <cell r="D1538" t="str">
            <v>09</v>
          </cell>
          <cell r="E1538" t="str">
            <v>002 04 00</v>
          </cell>
          <cell r="F1538" t="str">
            <v>500</v>
          </cell>
        </row>
        <row r="1539">
          <cell r="A1539" t="str">
            <v>Приобретение услуг</v>
          </cell>
          <cell r="B1539" t="str">
            <v>904</v>
          </cell>
          <cell r="C1539" t="str">
            <v>09</v>
          </cell>
          <cell r="D1539" t="str">
            <v>09</v>
          </cell>
          <cell r="E1539" t="str">
            <v>002 04 00</v>
          </cell>
          <cell r="F1539" t="str">
            <v>500</v>
          </cell>
        </row>
        <row r="1540">
          <cell r="A1540" t="str">
            <v>Услуги связи </v>
          </cell>
          <cell r="B1540" t="str">
            <v>904</v>
          </cell>
          <cell r="C1540" t="str">
            <v>09</v>
          </cell>
          <cell r="D1540" t="str">
            <v>09</v>
          </cell>
          <cell r="E1540" t="str">
            <v>002 04 00</v>
          </cell>
          <cell r="F1540" t="str">
            <v>500</v>
          </cell>
        </row>
        <row r="1541">
          <cell r="A1541" t="str">
            <v>Транспортные услуги</v>
          </cell>
          <cell r="B1541" t="str">
            <v>904</v>
          </cell>
          <cell r="C1541" t="str">
            <v>09</v>
          </cell>
          <cell r="D1541" t="str">
            <v>09</v>
          </cell>
          <cell r="E1541" t="str">
            <v>002 04 00</v>
          </cell>
          <cell r="F1541" t="str">
            <v>500</v>
          </cell>
        </row>
        <row r="1542">
          <cell r="A1542" t="str">
            <v>Коммунальные услуги</v>
          </cell>
          <cell r="B1542" t="str">
            <v>904</v>
          </cell>
          <cell r="C1542" t="str">
            <v>09</v>
          </cell>
          <cell r="D1542" t="str">
            <v>09</v>
          </cell>
          <cell r="E1542" t="str">
            <v>002 04 00</v>
          </cell>
          <cell r="F1542" t="str">
            <v>500</v>
          </cell>
        </row>
        <row r="1543">
          <cell r="A1543" t="str">
            <v>Арендная плата за пользование иммуществом </v>
          </cell>
          <cell r="B1543" t="str">
            <v>904</v>
          </cell>
          <cell r="C1543" t="str">
            <v>09</v>
          </cell>
          <cell r="D1543" t="str">
            <v>09</v>
          </cell>
          <cell r="E1543" t="str">
            <v>002 04 00</v>
          </cell>
          <cell r="F1543" t="str">
            <v>500</v>
          </cell>
        </row>
        <row r="1544">
          <cell r="A1544" t="str">
            <v>Услуги по содержанию иммущества</v>
          </cell>
          <cell r="B1544" t="str">
            <v>904</v>
          </cell>
          <cell r="C1544" t="str">
            <v>09</v>
          </cell>
          <cell r="D1544" t="str">
            <v>09</v>
          </cell>
          <cell r="E1544" t="str">
            <v>002 04 00</v>
          </cell>
          <cell r="F1544" t="str">
            <v>500</v>
          </cell>
        </row>
        <row r="1545">
          <cell r="A1545" t="str">
            <v>Прочие услуги</v>
          </cell>
          <cell r="B1545" t="str">
            <v>904</v>
          </cell>
          <cell r="C1545" t="str">
            <v>09</v>
          </cell>
          <cell r="D1545" t="str">
            <v>09</v>
          </cell>
          <cell r="E1545" t="str">
            <v>002 04 00</v>
          </cell>
          <cell r="F1545" t="str">
            <v>500</v>
          </cell>
        </row>
        <row r="1546">
          <cell r="A1546" t="str">
            <v>Прочие расходы </v>
          </cell>
          <cell r="B1546" t="str">
            <v>904</v>
          </cell>
          <cell r="C1546" t="str">
            <v>09</v>
          </cell>
          <cell r="D1546" t="str">
            <v>09</v>
          </cell>
          <cell r="E1546" t="str">
            <v>002 04 00</v>
          </cell>
          <cell r="F1546" t="str">
            <v>500</v>
          </cell>
        </row>
        <row r="1547">
          <cell r="A1547" t="str">
            <v>Поступление нефинансовых активов</v>
          </cell>
          <cell r="B1547" t="str">
            <v>904</v>
          </cell>
          <cell r="C1547" t="str">
            <v>09</v>
          </cell>
          <cell r="D1547" t="str">
            <v>09</v>
          </cell>
          <cell r="E1547" t="str">
            <v>002 04 00</v>
          </cell>
          <cell r="F1547" t="str">
            <v>500</v>
          </cell>
        </row>
        <row r="1548">
          <cell r="A1548" t="str">
            <v>Увеличение стоимости основных средств</v>
          </cell>
          <cell r="B1548" t="str">
            <v>904</v>
          </cell>
          <cell r="C1548" t="str">
            <v>09</v>
          </cell>
          <cell r="D1548" t="str">
            <v>09</v>
          </cell>
          <cell r="E1548" t="str">
            <v>002 04 00</v>
          </cell>
          <cell r="F1548" t="str">
            <v>500</v>
          </cell>
        </row>
        <row r="1549">
          <cell r="A1549" t="str">
            <v>Увеличение стоимости материальных запасов</v>
          </cell>
          <cell r="B1549" t="str">
            <v>904</v>
          </cell>
          <cell r="C1549" t="str">
            <v>09</v>
          </cell>
          <cell r="D1549" t="str">
            <v>09</v>
          </cell>
          <cell r="E1549" t="str">
            <v>002 04 00</v>
          </cell>
          <cell r="F1549" t="str">
            <v>500</v>
          </cell>
        </row>
        <row r="1550">
          <cell r="A1550" t="str">
            <v>Оплата труда и начисления на оплату труда</v>
          </cell>
          <cell r="B1550" t="str">
            <v>904</v>
          </cell>
          <cell r="C1550" t="str">
            <v>09</v>
          </cell>
          <cell r="D1550" t="str">
            <v>09</v>
          </cell>
          <cell r="E1550" t="str">
            <v>001 00 00</v>
          </cell>
          <cell r="F1550" t="str">
            <v>005</v>
          </cell>
        </row>
        <row r="1551">
          <cell r="A1551" t="str">
            <v>Заработная плата</v>
          </cell>
          <cell r="B1551" t="str">
            <v>904</v>
          </cell>
          <cell r="C1551" t="str">
            <v>09</v>
          </cell>
          <cell r="D1551" t="str">
            <v>09</v>
          </cell>
          <cell r="E1551" t="str">
            <v>001 00 00</v>
          </cell>
          <cell r="F1551" t="str">
            <v>005</v>
          </cell>
        </row>
        <row r="1552">
          <cell r="A1552" t="str">
            <v>Прочие выплаты</v>
          </cell>
          <cell r="B1552" t="str">
            <v>904</v>
          </cell>
          <cell r="C1552" t="str">
            <v>09</v>
          </cell>
          <cell r="D1552" t="str">
            <v>09</v>
          </cell>
          <cell r="E1552" t="str">
            <v>001 00 00</v>
          </cell>
          <cell r="F1552" t="str">
            <v>005</v>
          </cell>
        </row>
        <row r="1553">
          <cell r="A1553" t="str">
            <v>Начисление на оплату труда</v>
          </cell>
          <cell r="B1553" t="str">
            <v>904</v>
          </cell>
          <cell r="C1553" t="str">
            <v>09</v>
          </cell>
          <cell r="D1553" t="str">
            <v>09</v>
          </cell>
          <cell r="E1553" t="str">
            <v>001 00 00</v>
          </cell>
          <cell r="F1553" t="str">
            <v>005</v>
          </cell>
        </row>
        <row r="1554">
          <cell r="A1554" t="str">
            <v>Приобретение услуг</v>
          </cell>
          <cell r="B1554" t="str">
            <v>904</v>
          </cell>
          <cell r="C1554" t="str">
            <v>09</v>
          </cell>
          <cell r="D1554" t="str">
            <v>09</v>
          </cell>
          <cell r="E1554" t="str">
            <v>001 00 00</v>
          </cell>
          <cell r="F1554" t="str">
            <v>005</v>
          </cell>
        </row>
        <row r="1555">
          <cell r="A1555" t="str">
            <v>Услуги связи </v>
          </cell>
          <cell r="B1555" t="str">
            <v>904</v>
          </cell>
          <cell r="C1555" t="str">
            <v>09</v>
          </cell>
          <cell r="D1555" t="str">
            <v>09</v>
          </cell>
          <cell r="E1555" t="str">
            <v>001 00 00</v>
          </cell>
          <cell r="F1555" t="str">
            <v>005</v>
          </cell>
        </row>
        <row r="1556">
          <cell r="A1556" t="str">
            <v>Транспортные услуги</v>
          </cell>
          <cell r="B1556" t="str">
            <v>904</v>
          </cell>
          <cell r="C1556" t="str">
            <v>09</v>
          </cell>
          <cell r="D1556" t="str">
            <v>09</v>
          </cell>
          <cell r="E1556" t="str">
            <v>001 00 00</v>
          </cell>
          <cell r="F1556" t="str">
            <v>005</v>
          </cell>
        </row>
        <row r="1557">
          <cell r="A1557" t="str">
            <v>Коммунальные услуги</v>
          </cell>
          <cell r="B1557" t="str">
            <v>904</v>
          </cell>
          <cell r="C1557" t="str">
            <v>09</v>
          </cell>
          <cell r="D1557" t="str">
            <v>09</v>
          </cell>
          <cell r="E1557" t="str">
            <v>001 00 00</v>
          </cell>
          <cell r="F1557" t="str">
            <v>005</v>
          </cell>
        </row>
        <row r="1558">
          <cell r="A1558" t="str">
            <v>Арендная плата за пользование иммуществом </v>
          </cell>
          <cell r="B1558" t="str">
            <v>904</v>
          </cell>
          <cell r="C1558" t="str">
            <v>09</v>
          </cell>
          <cell r="D1558" t="str">
            <v>09</v>
          </cell>
          <cell r="E1558" t="str">
            <v>001 00 00</v>
          </cell>
          <cell r="F1558" t="str">
            <v>005</v>
          </cell>
        </row>
        <row r="1559">
          <cell r="A1559" t="str">
            <v>Услуги по содержанию иммущества</v>
          </cell>
          <cell r="B1559" t="str">
            <v>904</v>
          </cell>
          <cell r="C1559" t="str">
            <v>09</v>
          </cell>
          <cell r="D1559" t="str">
            <v>09</v>
          </cell>
          <cell r="E1559" t="str">
            <v>001 00 00</v>
          </cell>
          <cell r="F1559" t="str">
            <v>005</v>
          </cell>
        </row>
        <row r="1560">
          <cell r="A1560" t="str">
            <v>Прочие услуги</v>
          </cell>
          <cell r="B1560" t="str">
            <v>904</v>
          </cell>
          <cell r="C1560" t="str">
            <v>09</v>
          </cell>
          <cell r="D1560" t="str">
            <v>09</v>
          </cell>
          <cell r="E1560" t="str">
            <v>001 00 00</v>
          </cell>
          <cell r="F1560" t="str">
            <v>005</v>
          </cell>
        </row>
        <row r="1561">
          <cell r="A1561" t="str">
            <v>Прочие расходы </v>
          </cell>
          <cell r="B1561" t="str">
            <v>904</v>
          </cell>
          <cell r="C1561" t="str">
            <v>09</v>
          </cell>
          <cell r="D1561" t="str">
            <v>09</v>
          </cell>
          <cell r="E1561" t="str">
            <v>001 00 00</v>
          </cell>
          <cell r="F1561" t="str">
            <v>005</v>
          </cell>
        </row>
        <row r="1562">
          <cell r="A1562" t="str">
            <v>Поступление нефинансовых активов</v>
          </cell>
          <cell r="B1562" t="str">
            <v>904</v>
          </cell>
          <cell r="C1562" t="str">
            <v>09</v>
          </cell>
          <cell r="D1562" t="str">
            <v>09</v>
          </cell>
          <cell r="E1562" t="str">
            <v>001 00 00</v>
          </cell>
          <cell r="F1562" t="str">
            <v>005</v>
          </cell>
        </row>
        <row r="1563">
          <cell r="A1563" t="str">
            <v>Увеличение стоимости основных средств</v>
          </cell>
          <cell r="B1563" t="str">
            <v>904</v>
          </cell>
          <cell r="C1563" t="str">
            <v>09</v>
          </cell>
          <cell r="D1563" t="str">
            <v>09</v>
          </cell>
          <cell r="E1563" t="str">
            <v>001 00 00</v>
          </cell>
          <cell r="F1563" t="str">
            <v>005</v>
          </cell>
        </row>
        <row r="1564">
          <cell r="A1564" t="str">
            <v>Увеличение стоимости материальных запасов</v>
          </cell>
          <cell r="B1564" t="str">
            <v>904</v>
          </cell>
          <cell r="C1564" t="str">
            <v>09</v>
          </cell>
          <cell r="D1564" t="str">
            <v>09</v>
          </cell>
          <cell r="E1564" t="str">
            <v>001 00 00</v>
          </cell>
          <cell r="F1564" t="str">
            <v>005</v>
          </cell>
        </row>
        <row r="1565">
          <cell r="A1565" t="str">
            <v>Межбюджетные трансферты на погашение кредиторской задолженности муниципальных учреждений по страховым взносам в Пенсионный фонд Российской Федерации на обязательное пенсионное страхование, сложившейся за период с 1 января 2001 года до 1 января 2010 года</v>
          </cell>
          <cell r="B1565" t="str">
            <v>904</v>
          </cell>
          <cell r="C1565" t="str">
            <v>09</v>
          </cell>
          <cell r="D1565" t="str">
            <v>09</v>
          </cell>
          <cell r="E1565" t="str">
            <v>603 00 00</v>
          </cell>
          <cell r="F1565" t="str">
            <v>001</v>
          </cell>
        </row>
        <row r="1566">
          <cell r="B1566" t="str">
            <v>905</v>
          </cell>
          <cell r="C1566" t="str">
            <v>08</v>
          </cell>
          <cell r="D1566" t="str">
            <v>04</v>
          </cell>
          <cell r="E1566" t="str">
            <v>603 00 00</v>
          </cell>
          <cell r="F1566" t="str">
            <v>001</v>
          </cell>
        </row>
        <row r="1567">
          <cell r="B1567" t="str">
            <v>905</v>
          </cell>
          <cell r="C1567" t="str">
            <v>08</v>
          </cell>
          <cell r="D1567" t="str">
            <v>04</v>
          </cell>
          <cell r="E1567" t="str">
            <v>603 00 00</v>
          </cell>
          <cell r="F1567" t="str">
            <v>001</v>
          </cell>
        </row>
        <row r="1568">
          <cell r="A1568" t="str">
            <v>Выполнение функций органами местного самоуправления</v>
          </cell>
          <cell r="B1568" t="str">
            <v>904</v>
          </cell>
          <cell r="C1568" t="str">
            <v>09</v>
          </cell>
          <cell r="D1568" t="str">
            <v>09</v>
          </cell>
          <cell r="E1568" t="str">
            <v>603 00 00</v>
          </cell>
          <cell r="F1568" t="str">
            <v>001</v>
          </cell>
        </row>
        <row r="1569">
          <cell r="A1569" t="str">
            <v>Расходы</v>
          </cell>
          <cell r="B1569" t="str">
            <v>904</v>
          </cell>
          <cell r="C1569" t="str">
            <v>09</v>
          </cell>
          <cell r="D1569" t="str">
            <v>09</v>
          </cell>
          <cell r="E1569" t="str">
            <v>603 00 00</v>
          </cell>
          <cell r="F1569" t="str">
            <v>001</v>
          </cell>
        </row>
        <row r="1570">
          <cell r="A1570" t="str">
            <v>Оплата труда и начисления на оплату труда</v>
          </cell>
          <cell r="B1570" t="str">
            <v>904</v>
          </cell>
          <cell r="C1570" t="str">
            <v>09</v>
          </cell>
          <cell r="D1570" t="str">
            <v>09</v>
          </cell>
          <cell r="E1570" t="str">
            <v>603 00 00</v>
          </cell>
          <cell r="F1570" t="str">
            <v>001</v>
          </cell>
        </row>
        <row r="1571">
          <cell r="A1571" t="str">
            <v>Начисление на оплату труда</v>
          </cell>
          <cell r="B1571" t="str">
            <v>904</v>
          </cell>
          <cell r="C1571" t="str">
            <v>09</v>
          </cell>
          <cell r="D1571" t="str">
            <v>09</v>
          </cell>
          <cell r="E1571" t="str">
            <v>603 00 00</v>
          </cell>
          <cell r="F1571" t="str">
            <v>001</v>
          </cell>
        </row>
        <row r="1572">
          <cell r="A1572" t="str">
            <v>Учебно-методические кабинеты, центральные бухгалтерии, группы хоз.обслуживания</v>
          </cell>
          <cell r="B1572" t="str">
            <v>904</v>
          </cell>
          <cell r="C1572" t="str">
            <v>09</v>
          </cell>
          <cell r="D1572" t="str">
            <v>09</v>
          </cell>
          <cell r="E1572" t="str">
            <v>002 00 00</v>
          </cell>
          <cell r="F1572" t="str">
            <v>000</v>
          </cell>
        </row>
        <row r="1573">
          <cell r="A1573" t="str">
            <v>Осуществление отдельных областных государственных полномочий в области охраны здоровья граждан</v>
          </cell>
          <cell r="B1573" t="str">
            <v>904</v>
          </cell>
          <cell r="C1573" t="str">
            <v>09</v>
          </cell>
          <cell r="D1573" t="str">
            <v>09</v>
          </cell>
          <cell r="E1573" t="str">
            <v>002 52 00</v>
          </cell>
          <cell r="F1573" t="str">
            <v>000</v>
          </cell>
        </row>
        <row r="1574">
          <cell r="A1574" t="str">
            <v>Выполнение функций бюджетными учреждениями</v>
          </cell>
          <cell r="B1574" t="str">
            <v>904</v>
          </cell>
          <cell r="C1574" t="str">
            <v>09</v>
          </cell>
          <cell r="D1574" t="str">
            <v>09</v>
          </cell>
          <cell r="E1574" t="str">
            <v>002 52 00</v>
          </cell>
          <cell r="F1574" t="str">
            <v>001</v>
          </cell>
        </row>
        <row r="1575">
          <cell r="A1575" t="str">
            <v>Субсидии некоммерческим организациям</v>
          </cell>
          <cell r="B1575" t="str">
            <v>904</v>
          </cell>
          <cell r="C1575" t="str">
            <v>09</v>
          </cell>
          <cell r="D1575" t="str">
            <v>09</v>
          </cell>
          <cell r="E1575" t="str">
            <v>002 52 00</v>
          </cell>
          <cell r="F1575" t="str">
            <v>019</v>
          </cell>
        </row>
        <row r="1576">
          <cell r="A1576" t="str">
            <v>Учебно-методические кабинеты, центральные бухгалтерии, группы хоз.обслуживания</v>
          </cell>
          <cell r="B1576" t="str">
            <v>904</v>
          </cell>
          <cell r="C1576" t="str">
            <v>09</v>
          </cell>
          <cell r="D1576" t="str">
            <v>09</v>
          </cell>
          <cell r="E1576" t="str">
            <v>452 00 00</v>
          </cell>
          <cell r="F1576" t="str">
            <v>000</v>
          </cell>
        </row>
        <row r="1577">
          <cell r="A1577" t="str">
            <v>Обеспечение деятельности подведомственных учреждений</v>
          </cell>
          <cell r="B1577" t="str">
            <v>904</v>
          </cell>
          <cell r="C1577" t="str">
            <v>09</v>
          </cell>
          <cell r="D1577" t="str">
            <v>09</v>
          </cell>
          <cell r="E1577" t="str">
            <v>452 99 00</v>
          </cell>
          <cell r="F1577" t="str">
            <v>000</v>
          </cell>
        </row>
        <row r="1578">
          <cell r="A1578" t="str">
            <v>Выполнение функций бюджетными учреждениями</v>
          </cell>
          <cell r="B1578" t="str">
            <v>904</v>
          </cell>
          <cell r="C1578" t="str">
            <v>09</v>
          </cell>
          <cell r="D1578" t="str">
            <v>09</v>
          </cell>
          <cell r="E1578" t="str">
            <v>452 99 00</v>
          </cell>
          <cell r="F1578" t="str">
            <v>001</v>
          </cell>
        </row>
        <row r="1579">
          <cell r="A1579" t="str">
            <v>Расходы</v>
          </cell>
          <cell r="B1579" t="str">
            <v>904</v>
          </cell>
          <cell r="C1579" t="str">
            <v>09</v>
          </cell>
          <cell r="D1579" t="str">
            <v>09</v>
          </cell>
          <cell r="E1579" t="str">
            <v>452 99 00</v>
          </cell>
          <cell r="F1579" t="str">
            <v>001</v>
          </cell>
        </row>
        <row r="1580">
          <cell r="A1580" t="str">
            <v>Оплата труда и начисления на оплату труда</v>
          </cell>
          <cell r="B1580" t="str">
            <v>904</v>
          </cell>
          <cell r="C1580" t="str">
            <v>09</v>
          </cell>
          <cell r="D1580" t="str">
            <v>09</v>
          </cell>
          <cell r="E1580" t="str">
            <v>452 99 00</v>
          </cell>
          <cell r="F1580" t="str">
            <v>001</v>
          </cell>
        </row>
        <row r="1581">
          <cell r="A1581" t="str">
            <v>Заработная плата</v>
          </cell>
          <cell r="B1581" t="str">
            <v>904</v>
          </cell>
          <cell r="C1581" t="str">
            <v>09</v>
          </cell>
          <cell r="D1581" t="str">
            <v>09</v>
          </cell>
          <cell r="E1581" t="str">
            <v>452 99 00</v>
          </cell>
          <cell r="F1581" t="str">
            <v>001</v>
          </cell>
        </row>
        <row r="1582">
          <cell r="A1582" t="str">
            <v>Прочие выплаты</v>
          </cell>
          <cell r="B1582" t="str">
            <v>904</v>
          </cell>
          <cell r="C1582" t="str">
            <v>09</v>
          </cell>
          <cell r="D1582" t="str">
            <v>09</v>
          </cell>
          <cell r="E1582" t="str">
            <v>452 99 00</v>
          </cell>
          <cell r="F1582" t="str">
            <v>001</v>
          </cell>
        </row>
        <row r="1583">
          <cell r="A1583" t="str">
            <v>Начисление на оплату труда</v>
          </cell>
          <cell r="B1583" t="str">
            <v>904</v>
          </cell>
          <cell r="C1583" t="str">
            <v>09</v>
          </cell>
          <cell r="D1583" t="str">
            <v>09</v>
          </cell>
          <cell r="E1583" t="str">
            <v>452 99 00</v>
          </cell>
          <cell r="F1583" t="str">
            <v>001</v>
          </cell>
        </row>
        <row r="1584">
          <cell r="A1584" t="str">
            <v>Приобретение услуг</v>
          </cell>
          <cell r="B1584" t="str">
            <v>904</v>
          </cell>
          <cell r="C1584" t="str">
            <v>09</v>
          </cell>
          <cell r="D1584" t="str">
            <v>09</v>
          </cell>
          <cell r="E1584" t="str">
            <v>452 99 00</v>
          </cell>
          <cell r="F1584" t="str">
            <v>001</v>
          </cell>
        </row>
        <row r="1585">
          <cell r="A1585" t="str">
            <v>Услуги связи </v>
          </cell>
          <cell r="B1585" t="str">
            <v>904</v>
          </cell>
          <cell r="C1585" t="str">
            <v>09</v>
          </cell>
          <cell r="D1585" t="str">
            <v>09</v>
          </cell>
          <cell r="E1585" t="str">
            <v>452 99 00</v>
          </cell>
          <cell r="F1585" t="str">
            <v>001</v>
          </cell>
        </row>
        <row r="1586">
          <cell r="A1586" t="str">
            <v>Транспортные услуги</v>
          </cell>
          <cell r="B1586" t="str">
            <v>904</v>
          </cell>
          <cell r="C1586" t="str">
            <v>09</v>
          </cell>
          <cell r="D1586" t="str">
            <v>09</v>
          </cell>
          <cell r="E1586" t="str">
            <v>452 99 00</v>
          </cell>
          <cell r="F1586" t="str">
            <v>001</v>
          </cell>
        </row>
        <row r="1587">
          <cell r="A1587" t="str">
            <v>Коммунальные услуги</v>
          </cell>
          <cell r="B1587" t="str">
            <v>904</v>
          </cell>
          <cell r="C1587" t="str">
            <v>09</v>
          </cell>
          <cell r="D1587" t="str">
            <v>09</v>
          </cell>
          <cell r="E1587" t="str">
            <v>452 99 00</v>
          </cell>
          <cell r="F1587" t="str">
            <v>001</v>
          </cell>
        </row>
        <row r="1588">
          <cell r="A1588" t="str">
            <v>Арендная плата за пользование иммуществом </v>
          </cell>
          <cell r="B1588" t="str">
            <v>904</v>
          </cell>
          <cell r="C1588" t="str">
            <v>09</v>
          </cell>
          <cell r="D1588" t="str">
            <v>09</v>
          </cell>
          <cell r="E1588" t="str">
            <v>452 99 00</v>
          </cell>
          <cell r="F1588" t="str">
            <v>001</v>
          </cell>
        </row>
        <row r="1589">
          <cell r="A1589" t="str">
            <v>Услуги по содержанию иммущества</v>
          </cell>
          <cell r="B1589" t="str">
            <v>904</v>
          </cell>
          <cell r="C1589" t="str">
            <v>09</v>
          </cell>
          <cell r="D1589" t="str">
            <v>09</v>
          </cell>
          <cell r="E1589" t="str">
            <v>452 99 00</v>
          </cell>
          <cell r="F1589" t="str">
            <v>001</v>
          </cell>
        </row>
        <row r="1590">
          <cell r="A1590" t="str">
            <v>Прочие услуги</v>
          </cell>
          <cell r="B1590" t="str">
            <v>904</v>
          </cell>
          <cell r="C1590" t="str">
            <v>09</v>
          </cell>
          <cell r="D1590" t="str">
            <v>09</v>
          </cell>
          <cell r="E1590" t="str">
            <v>452 99 00</v>
          </cell>
          <cell r="F1590" t="str">
            <v>001</v>
          </cell>
        </row>
        <row r="1591">
          <cell r="A1591" t="str">
            <v>Прочие расходы </v>
          </cell>
          <cell r="B1591" t="str">
            <v>904</v>
          </cell>
          <cell r="C1591" t="str">
            <v>09</v>
          </cell>
          <cell r="D1591" t="str">
            <v>09</v>
          </cell>
          <cell r="E1591" t="str">
            <v>452 99 00</v>
          </cell>
          <cell r="F1591" t="str">
            <v>001</v>
          </cell>
        </row>
        <row r="1592">
          <cell r="A1592" t="str">
            <v>Поступление нефинансовых активов</v>
          </cell>
          <cell r="B1592" t="str">
            <v>904</v>
          </cell>
          <cell r="C1592" t="str">
            <v>09</v>
          </cell>
          <cell r="D1592" t="str">
            <v>09</v>
          </cell>
          <cell r="E1592" t="str">
            <v>452 99 00</v>
          </cell>
          <cell r="F1592" t="str">
            <v>001</v>
          </cell>
        </row>
        <row r="1593">
          <cell r="A1593" t="str">
            <v>Увеличение стоимости основных средств</v>
          </cell>
          <cell r="B1593" t="str">
            <v>904</v>
          </cell>
          <cell r="C1593" t="str">
            <v>09</v>
          </cell>
          <cell r="D1593" t="str">
            <v>09</v>
          </cell>
          <cell r="E1593" t="str">
            <v>452 99 00</v>
          </cell>
          <cell r="F1593" t="str">
            <v>001</v>
          </cell>
        </row>
        <row r="1594">
          <cell r="A1594" t="str">
            <v>Увеличение стоимости материальных запасов</v>
          </cell>
          <cell r="B1594" t="str">
            <v>904</v>
          </cell>
          <cell r="C1594" t="str">
            <v>09</v>
          </cell>
          <cell r="D1594" t="str">
            <v>09</v>
          </cell>
          <cell r="E1594" t="str">
            <v>452 99 00</v>
          </cell>
          <cell r="F1594" t="str">
            <v>001</v>
          </cell>
        </row>
        <row r="1595">
          <cell r="A1595" t="str">
            <v>Региональные целевые программы</v>
          </cell>
          <cell r="B1595" t="str">
            <v>901</v>
          </cell>
          <cell r="C1595" t="str">
            <v>09</v>
          </cell>
          <cell r="D1595" t="str">
            <v>09</v>
          </cell>
          <cell r="E1595" t="str">
            <v>522 00 00</v>
          </cell>
          <cell r="F1595" t="str">
            <v>000</v>
          </cell>
        </row>
        <row r="1596">
          <cell r="A1596" t="str">
            <v>Мероприятия в области здравоохранения, спорта и физической культуры </v>
          </cell>
          <cell r="B1596" t="str">
            <v>901</v>
          </cell>
          <cell r="C1596" t="str">
            <v>09</v>
          </cell>
          <cell r="D1596" t="str">
            <v>09</v>
          </cell>
          <cell r="E1596" t="str">
            <v>522 00 00</v>
          </cell>
          <cell r="F1596" t="str">
            <v>455</v>
          </cell>
        </row>
        <row r="1597">
          <cell r="A1597" t="str">
            <v>Увеличение стоимости основных средств</v>
          </cell>
          <cell r="B1597" t="str">
            <v>901</v>
          </cell>
          <cell r="C1597" t="str">
            <v>09</v>
          </cell>
          <cell r="D1597" t="str">
            <v>09</v>
          </cell>
          <cell r="E1597" t="str">
            <v>522 00 00</v>
          </cell>
          <cell r="F1597" t="str">
            <v>455</v>
          </cell>
        </row>
        <row r="1598">
          <cell r="A1598" t="str">
            <v>Региональные целевые программы Развитие  села</v>
          </cell>
          <cell r="B1598" t="str">
            <v>904</v>
          </cell>
          <cell r="C1598" t="str">
            <v>09</v>
          </cell>
          <cell r="D1598" t="str">
            <v>09</v>
          </cell>
          <cell r="E1598" t="str">
            <v>522 00 00</v>
          </cell>
          <cell r="F1598" t="str">
            <v>000</v>
          </cell>
        </row>
        <row r="1599">
          <cell r="A1599" t="str">
            <v>Мероприятия в области здравоохранения, спорта и физической культуры </v>
          </cell>
          <cell r="B1599" t="str">
            <v>904</v>
          </cell>
          <cell r="C1599" t="str">
            <v>09</v>
          </cell>
          <cell r="D1599" t="str">
            <v>09</v>
          </cell>
          <cell r="E1599" t="str">
            <v>522 18 00</v>
          </cell>
          <cell r="F1599" t="str">
            <v>000</v>
          </cell>
        </row>
        <row r="1600">
          <cell r="A1600" t="str">
            <v>Услуги по содержанию иммущества</v>
          </cell>
          <cell r="B1600" t="str">
            <v>904</v>
          </cell>
          <cell r="C1600" t="str">
            <v>09</v>
          </cell>
          <cell r="D1600" t="str">
            <v>09</v>
          </cell>
          <cell r="E1600" t="str">
            <v>522 18 00</v>
          </cell>
          <cell r="F1600" t="str">
            <v>079</v>
          </cell>
        </row>
        <row r="1601">
          <cell r="A1601" t="str">
            <v>Увеличение стоимости основных средств</v>
          </cell>
          <cell r="B1601" t="str">
            <v>904</v>
          </cell>
          <cell r="C1601" t="str">
            <v>09</v>
          </cell>
          <cell r="D1601" t="str">
            <v>09</v>
          </cell>
          <cell r="E1601" t="str">
            <v>522 18 00</v>
          </cell>
          <cell r="F1601" t="str">
            <v>079</v>
          </cell>
        </row>
        <row r="1602">
          <cell r="A1602" t="str">
            <v>Увеличение стоимости основных средств</v>
          </cell>
          <cell r="B1602" t="str">
            <v>904</v>
          </cell>
          <cell r="C1602" t="str">
            <v>09</v>
          </cell>
          <cell r="D1602" t="str">
            <v>09</v>
          </cell>
          <cell r="E1602" t="str">
            <v>522 18 00</v>
          </cell>
          <cell r="F1602" t="str">
            <v>079</v>
          </cell>
        </row>
        <row r="1603">
          <cell r="A1603" t="str">
            <v>Увеличение стоимости материальных запасов</v>
          </cell>
          <cell r="B1603" t="str">
            <v>904</v>
          </cell>
          <cell r="C1603" t="str">
            <v>09</v>
          </cell>
          <cell r="D1603" t="str">
            <v>09</v>
          </cell>
          <cell r="E1603" t="str">
            <v>522 18 00</v>
          </cell>
          <cell r="F1603" t="str">
            <v>079</v>
          </cell>
        </row>
        <row r="1604">
          <cell r="A1604" t="str">
            <v>Субсидии некоммерческим организациям</v>
          </cell>
          <cell r="B1604" t="str">
            <v>904</v>
          </cell>
          <cell r="C1604" t="str">
            <v>09</v>
          </cell>
          <cell r="D1604" t="str">
            <v>09</v>
          </cell>
          <cell r="E1604" t="str">
            <v>452 99 00</v>
          </cell>
          <cell r="F1604" t="str">
            <v>019</v>
          </cell>
        </row>
        <row r="1605">
          <cell r="A1605" t="str">
            <v>Учреждения, обеспечивающие предоставление услуг в сфере здравоохранения</v>
          </cell>
          <cell r="B1605" t="str">
            <v>904</v>
          </cell>
          <cell r="C1605" t="str">
            <v>09</v>
          </cell>
          <cell r="D1605" t="str">
            <v>09</v>
          </cell>
          <cell r="E1605" t="str">
            <v>469 00 00</v>
          </cell>
          <cell r="F1605" t="str">
            <v>000</v>
          </cell>
        </row>
        <row r="1606">
          <cell r="A1606" t="str">
            <v>Обеспечение деятельности подведомственных учреждений</v>
          </cell>
          <cell r="B1606" t="str">
            <v>904</v>
          </cell>
          <cell r="C1606" t="str">
            <v>09</v>
          </cell>
          <cell r="D1606" t="str">
            <v>09</v>
          </cell>
          <cell r="E1606" t="str">
            <v>469 99 00</v>
          </cell>
          <cell r="F1606" t="str">
            <v>000</v>
          </cell>
        </row>
        <row r="1607">
          <cell r="A1607" t="str">
            <v>Выполнение функций бюджетными учреждениями</v>
          </cell>
          <cell r="B1607" t="str">
            <v>904</v>
          </cell>
          <cell r="C1607" t="str">
            <v>09</v>
          </cell>
          <cell r="D1607" t="str">
            <v>09</v>
          </cell>
          <cell r="E1607" t="str">
            <v>469 99 00</v>
          </cell>
          <cell r="F1607" t="str">
            <v>001</v>
          </cell>
        </row>
        <row r="1608">
          <cell r="A1608" t="str">
            <v>Реализация региональных программ модернизации здравоохранения субъектов РФ и программ модернизации федеральных государственных учреждений</v>
          </cell>
          <cell r="B1608" t="str">
            <v>904</v>
          </cell>
          <cell r="C1608" t="str">
            <v>09</v>
          </cell>
          <cell r="D1608" t="str">
            <v>09</v>
          </cell>
          <cell r="E1608" t="str">
            <v>096 00 00</v>
          </cell>
          <cell r="F1608" t="str">
            <v>000</v>
          </cell>
        </row>
        <row r="1609">
          <cell r="A1609" t="str">
            <v>Реализация программ модернизации здравоохранения субъектов РФ в части укрепления материально-технической базы медицинских учреждений</v>
          </cell>
          <cell r="B1609" t="str">
            <v>904</v>
          </cell>
          <cell r="C1609" t="str">
            <v>09</v>
          </cell>
          <cell r="D1609" t="str">
            <v>09</v>
          </cell>
          <cell r="E1609" t="str">
            <v>096 01 00</v>
          </cell>
          <cell r="F1609" t="str">
            <v>000</v>
          </cell>
        </row>
        <row r="1610">
          <cell r="A1610" t="str">
            <v>Реализация программ модернизации здравоохранения субъектов РФ в части укрепления материально-технической базы медицинских учреждений за счет средств бюджета территориального фонда обязательного медицинского страхования граждан Иркутской области</v>
          </cell>
          <cell r="B1610" t="str">
            <v>904</v>
          </cell>
          <cell r="C1610" t="str">
            <v>09</v>
          </cell>
          <cell r="D1610" t="str">
            <v>09</v>
          </cell>
          <cell r="E1610" t="str">
            <v>096 01 01</v>
          </cell>
          <cell r="F1610" t="str">
            <v>000</v>
          </cell>
        </row>
        <row r="1611">
          <cell r="A1611" t="str">
            <v>Выполнение функций бюджетными учреждениями</v>
          </cell>
          <cell r="B1611" t="str">
            <v>904</v>
          </cell>
          <cell r="C1611" t="str">
            <v>09</v>
          </cell>
          <cell r="D1611" t="str">
            <v>09</v>
          </cell>
          <cell r="E1611" t="str">
            <v>096 01 01</v>
          </cell>
          <cell r="F1611" t="str">
            <v>001</v>
          </cell>
        </row>
        <row r="1614">
          <cell r="A1614" t="str">
            <v>Учреждения, обеспечивающие предоставление услуг в сфере здравоохранения</v>
          </cell>
          <cell r="B1614" t="str">
            <v>904</v>
          </cell>
          <cell r="C1614" t="str">
            <v>09</v>
          </cell>
          <cell r="D1614" t="str">
            <v>09</v>
          </cell>
          <cell r="E1614" t="str">
            <v>469 00 00</v>
          </cell>
          <cell r="F1614" t="str">
            <v>000</v>
          </cell>
        </row>
        <row r="1615">
          <cell r="A1615" t="str">
            <v>Обеспечение деятельности подведомственных учреждений</v>
          </cell>
          <cell r="B1615" t="str">
            <v>904</v>
          </cell>
          <cell r="C1615" t="str">
            <v>09</v>
          </cell>
          <cell r="D1615" t="str">
            <v>09</v>
          </cell>
          <cell r="E1615" t="str">
            <v>469 99 00</v>
          </cell>
          <cell r="F1615" t="str">
            <v>000</v>
          </cell>
        </row>
        <row r="1616">
          <cell r="A1616" t="str">
            <v>Выполнение функций бюджетными учреждениями</v>
          </cell>
          <cell r="B1616" t="str">
            <v>904</v>
          </cell>
          <cell r="C1616" t="str">
            <v>09</v>
          </cell>
          <cell r="D1616" t="str">
            <v>09</v>
          </cell>
          <cell r="E1616" t="str">
            <v>469 99 00</v>
          </cell>
          <cell r="F1616" t="str">
            <v>001</v>
          </cell>
        </row>
        <row r="1617">
          <cell r="A1617" t="str">
            <v>Расходы</v>
          </cell>
          <cell r="B1617" t="str">
            <v>904</v>
          </cell>
          <cell r="C1617" t="str">
            <v>09</v>
          </cell>
          <cell r="D1617" t="str">
            <v>09</v>
          </cell>
          <cell r="E1617" t="str">
            <v>469 99 00</v>
          </cell>
          <cell r="F1617" t="str">
            <v>001</v>
          </cell>
        </row>
        <row r="1618">
          <cell r="A1618" t="str">
            <v>Приобретение услуг</v>
          </cell>
          <cell r="B1618" t="str">
            <v>904</v>
          </cell>
          <cell r="C1618" t="str">
            <v>09</v>
          </cell>
          <cell r="D1618" t="str">
            <v>09</v>
          </cell>
          <cell r="E1618" t="str">
            <v>469 99 00</v>
          </cell>
          <cell r="F1618" t="str">
            <v>001</v>
          </cell>
        </row>
        <row r="1619">
          <cell r="A1619" t="str">
            <v>Прочие услуги</v>
          </cell>
          <cell r="B1619" t="str">
            <v>904</v>
          </cell>
          <cell r="C1619" t="str">
            <v>09</v>
          </cell>
          <cell r="D1619" t="str">
            <v>09</v>
          </cell>
          <cell r="E1619" t="str">
            <v>469 99 00</v>
          </cell>
          <cell r="F1619" t="str">
            <v>001</v>
          </cell>
        </row>
        <row r="1620">
          <cell r="A1620" t="str">
            <v>Реализация программ модернизации здравоохранения субъектов РФ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 за счет средств областного бюджета</v>
          </cell>
          <cell r="B1620" t="str">
            <v>904</v>
          </cell>
          <cell r="C1620" t="str">
            <v>09</v>
          </cell>
          <cell r="D1620" t="str">
            <v>09</v>
          </cell>
          <cell r="E1620" t="str">
            <v>096 01 02</v>
          </cell>
          <cell r="F1620" t="str">
            <v>000</v>
          </cell>
        </row>
        <row r="1621">
          <cell r="A1621" t="str">
            <v>Выполнение функций бюджетными учреждениями</v>
          </cell>
          <cell r="B1621" t="str">
            <v>904</v>
          </cell>
          <cell r="C1621" t="str">
            <v>09</v>
          </cell>
          <cell r="D1621" t="str">
            <v>09</v>
          </cell>
          <cell r="E1621" t="str">
            <v>096 01 02</v>
          </cell>
          <cell r="F1621" t="str">
            <v>001</v>
          </cell>
        </row>
        <row r="1624">
          <cell r="A1624" t="str">
            <v>Целевые программы муниципальных образований </v>
          </cell>
          <cell r="B1624" t="str">
            <v>904</v>
          </cell>
          <cell r="C1624" t="str">
            <v>09</v>
          </cell>
          <cell r="D1624" t="str">
            <v>09</v>
          </cell>
          <cell r="E1624" t="str">
            <v>795 00 00</v>
          </cell>
          <cell r="F1624" t="str">
            <v>000</v>
          </cell>
        </row>
        <row r="1625">
          <cell r="A1625" t="str">
            <v>Выполнение функций органами местного самоуправления</v>
          </cell>
          <cell r="B1625" t="str">
            <v>904</v>
          </cell>
          <cell r="C1625" t="str">
            <v>09</v>
          </cell>
          <cell r="D1625" t="str">
            <v>09</v>
          </cell>
          <cell r="E1625" t="str">
            <v>795 00 00</v>
          </cell>
          <cell r="F1625" t="str">
            <v>500</v>
          </cell>
        </row>
        <row r="1626">
          <cell r="A1626" t="str">
            <v>АНТИ-ВИЧ\СПИД на2012- 2015 г</v>
          </cell>
          <cell r="B1626" t="str">
            <v>904</v>
          </cell>
          <cell r="C1626" t="str">
            <v>09</v>
          </cell>
          <cell r="D1626" t="str">
            <v>09</v>
          </cell>
          <cell r="E1626" t="str">
            <v>795 11 00</v>
          </cell>
          <cell r="F1626" t="str">
            <v>000</v>
          </cell>
        </row>
        <row r="1627">
          <cell r="A1627" t="str">
            <v>Выполнение функций органами местного самоуправления</v>
          </cell>
          <cell r="B1627" t="str">
            <v>904</v>
          </cell>
          <cell r="C1627" t="str">
            <v>09</v>
          </cell>
          <cell r="D1627" t="str">
            <v>09</v>
          </cell>
          <cell r="E1627" t="str">
            <v>795 11 00</v>
          </cell>
          <cell r="F1627" t="str">
            <v>500</v>
          </cell>
        </row>
        <row r="1628">
          <cell r="A1628" t="str">
            <v>"Безопасное материнство на 2009-2013 гг"</v>
          </cell>
          <cell r="B1628" t="str">
            <v>904</v>
          </cell>
          <cell r="C1628" t="str">
            <v>09</v>
          </cell>
          <cell r="D1628" t="str">
            <v>09</v>
          </cell>
          <cell r="E1628" t="str">
            <v>795 13 00</v>
          </cell>
          <cell r="F1628" t="str">
            <v>000</v>
          </cell>
        </row>
        <row r="1629">
          <cell r="A1629" t="str">
            <v>Выполнение функций органами местного самоуправления</v>
          </cell>
          <cell r="B1629" t="str">
            <v>904</v>
          </cell>
          <cell r="C1629" t="str">
            <v>09</v>
          </cell>
          <cell r="D1629" t="str">
            <v>09</v>
          </cell>
          <cell r="E1629" t="str">
            <v>795 13 00</v>
          </cell>
          <cell r="F1629" t="str">
            <v>500</v>
          </cell>
        </row>
        <row r="1630">
          <cell r="A1630" t="str">
            <v>"Предупреждение и борьба  с туберкулезом , совершенствование стратегий и тактики организации противотуберкулезных мероприятий в Усольском районе в 2011-2012 гг"</v>
          </cell>
          <cell r="B1630" t="str">
            <v>904</v>
          </cell>
          <cell r="C1630" t="str">
            <v>09</v>
          </cell>
          <cell r="D1630" t="str">
            <v>09</v>
          </cell>
          <cell r="E1630" t="str">
            <v>795 14 00</v>
          </cell>
          <cell r="F1630" t="str">
            <v>000</v>
          </cell>
        </row>
        <row r="1631">
          <cell r="A1631" t="str">
            <v>Выполнение функций органами местного самоуправления</v>
          </cell>
          <cell r="B1631" t="str">
            <v>904</v>
          </cell>
          <cell r="C1631" t="str">
            <v>09</v>
          </cell>
          <cell r="D1631" t="str">
            <v>09</v>
          </cell>
          <cell r="E1631" t="str">
            <v>795 14 00</v>
          </cell>
          <cell r="F1631" t="str">
            <v>500</v>
          </cell>
        </row>
        <row r="1632">
          <cell r="A1632" t="str">
            <v>"Профилактика и  лечение артериальной гипертонии  на 2010-2012 гг"</v>
          </cell>
          <cell r="B1632" t="str">
            <v>904</v>
          </cell>
          <cell r="C1632" t="str">
            <v>09</v>
          </cell>
          <cell r="D1632" t="str">
            <v>09</v>
          </cell>
          <cell r="E1632" t="str">
            <v>795 15 00</v>
          </cell>
          <cell r="F1632" t="str">
            <v>000</v>
          </cell>
        </row>
        <row r="1633">
          <cell r="A1633" t="str">
            <v>Выполнение функций органами местного самоуправления</v>
          </cell>
          <cell r="B1633" t="str">
            <v>904</v>
          </cell>
          <cell r="C1633" t="str">
            <v>09</v>
          </cell>
          <cell r="D1633" t="str">
            <v>09</v>
          </cell>
          <cell r="E1633" t="str">
            <v>795 15 00</v>
          </cell>
          <cell r="F1633" t="str">
            <v>500</v>
          </cell>
        </row>
        <row r="1634">
          <cell r="A1634" t="str">
            <v>"Обеспечение санитарно-эпидимиологического благополучия  населения УРМО  на 2011-2013 г"</v>
          </cell>
          <cell r="B1634" t="str">
            <v>904</v>
          </cell>
          <cell r="C1634" t="str">
            <v>09</v>
          </cell>
          <cell r="D1634" t="str">
            <v>09</v>
          </cell>
          <cell r="E1634" t="str">
            <v>795 16 00</v>
          </cell>
          <cell r="F1634" t="str">
            <v>000</v>
          </cell>
        </row>
        <row r="1635">
          <cell r="A1635" t="str">
            <v>Выполнение функций органами местного самоуправления</v>
          </cell>
          <cell r="B1635" t="str">
            <v>904</v>
          </cell>
          <cell r="C1635" t="str">
            <v>09</v>
          </cell>
          <cell r="D1635" t="str">
            <v>09</v>
          </cell>
          <cell r="E1635" t="str">
            <v>795 16 00</v>
          </cell>
          <cell r="F1635" t="str">
            <v>500</v>
          </cell>
        </row>
        <row r="1636">
          <cell r="A1636" t="str">
            <v>Демографическое развитие УРМО на 2009-2012 гг</v>
          </cell>
          <cell r="B1636" t="str">
            <v>904</v>
          </cell>
          <cell r="C1636" t="str">
            <v>09</v>
          </cell>
          <cell r="D1636" t="str">
            <v>09</v>
          </cell>
          <cell r="E1636" t="str">
            <v>795 31 00</v>
          </cell>
          <cell r="F1636" t="str">
            <v>000</v>
          </cell>
        </row>
        <row r="1637">
          <cell r="A1637" t="str">
            <v>Выполнение функций органами местного самоуправления</v>
          </cell>
          <cell r="B1637" t="str">
            <v>904</v>
          </cell>
          <cell r="C1637" t="str">
            <v>09</v>
          </cell>
          <cell r="D1637" t="str">
            <v>09</v>
          </cell>
          <cell r="E1637" t="str">
            <v>795 31 00</v>
          </cell>
          <cell r="F1637" t="str">
            <v>500</v>
          </cell>
        </row>
        <row r="1638">
          <cell r="A1638" t="str">
            <v>Услуги по содержанию иммущества</v>
          </cell>
          <cell r="B1638" t="str">
            <v>904</v>
          </cell>
          <cell r="C1638" t="str">
            <v>09</v>
          </cell>
          <cell r="D1638" t="str">
            <v>09</v>
          </cell>
          <cell r="E1638" t="str">
            <v>795 00 00</v>
          </cell>
          <cell r="F1638" t="str">
            <v>500</v>
          </cell>
        </row>
        <row r="1639">
          <cell r="A1639" t="str">
            <v>Прочие услуги</v>
          </cell>
          <cell r="B1639" t="str">
            <v>904</v>
          </cell>
          <cell r="C1639" t="str">
            <v>09</v>
          </cell>
          <cell r="D1639" t="str">
            <v>09</v>
          </cell>
          <cell r="E1639" t="str">
            <v>795 00 00</v>
          </cell>
          <cell r="F1639" t="str">
            <v>500</v>
          </cell>
        </row>
        <row r="1640">
          <cell r="A1640" t="str">
            <v>Услуги по содержанию иммущества</v>
          </cell>
          <cell r="B1640" t="str">
            <v>904</v>
          </cell>
          <cell r="C1640" t="str">
            <v>09</v>
          </cell>
          <cell r="D1640" t="str">
            <v>09</v>
          </cell>
          <cell r="E1640" t="str">
            <v>795 16 00</v>
          </cell>
          <cell r="F1640" t="str">
            <v>500</v>
          </cell>
        </row>
        <row r="1641">
          <cell r="A1641" t="str">
            <v>Прочие услуги</v>
          </cell>
          <cell r="B1641" t="str">
            <v>904</v>
          </cell>
          <cell r="C1641" t="str">
            <v>09</v>
          </cell>
          <cell r="D1641" t="str">
            <v>09</v>
          </cell>
          <cell r="E1641" t="str">
            <v>795 11 00</v>
          </cell>
          <cell r="F1641" t="str">
            <v>500</v>
          </cell>
        </row>
        <row r="1642">
          <cell r="A1642" t="str">
            <v>Прочие услуги</v>
          </cell>
          <cell r="B1642" t="str">
            <v>904</v>
          </cell>
          <cell r="C1642" t="str">
            <v>09</v>
          </cell>
          <cell r="D1642" t="str">
            <v>09</v>
          </cell>
          <cell r="E1642" t="str">
            <v>795 12 00</v>
          </cell>
          <cell r="F1642" t="str">
            <v>500</v>
          </cell>
        </row>
        <row r="1643">
          <cell r="A1643" t="str">
            <v>Прочие услуги</v>
          </cell>
          <cell r="B1643" t="str">
            <v>904</v>
          </cell>
          <cell r="C1643" t="str">
            <v>09</v>
          </cell>
          <cell r="D1643" t="str">
            <v>09</v>
          </cell>
          <cell r="E1643" t="str">
            <v>795 13 00</v>
          </cell>
          <cell r="F1643" t="str">
            <v>500</v>
          </cell>
        </row>
        <row r="1644">
          <cell r="A1644" t="str">
            <v>Прочие услуги</v>
          </cell>
          <cell r="B1644" t="str">
            <v>904</v>
          </cell>
          <cell r="C1644" t="str">
            <v>09</v>
          </cell>
          <cell r="D1644" t="str">
            <v>09</v>
          </cell>
          <cell r="E1644" t="str">
            <v>795 14 00</v>
          </cell>
          <cell r="F1644" t="str">
            <v>500</v>
          </cell>
        </row>
        <row r="1645">
          <cell r="A1645" t="str">
            <v>Прочие услуги</v>
          </cell>
          <cell r="B1645" t="str">
            <v>904</v>
          </cell>
          <cell r="C1645" t="str">
            <v>09</v>
          </cell>
          <cell r="D1645" t="str">
            <v>09</v>
          </cell>
          <cell r="E1645" t="str">
            <v>795 15 00</v>
          </cell>
          <cell r="F1645" t="str">
            <v>500</v>
          </cell>
        </row>
        <row r="1646">
          <cell r="A1646" t="str">
            <v>Прочие услуги</v>
          </cell>
          <cell r="B1646" t="str">
            <v>904</v>
          </cell>
          <cell r="C1646" t="str">
            <v>09</v>
          </cell>
          <cell r="D1646" t="str">
            <v>09</v>
          </cell>
          <cell r="E1646" t="str">
            <v>795 31 00</v>
          </cell>
          <cell r="F1646" t="str">
            <v>500</v>
          </cell>
        </row>
        <row r="1647">
          <cell r="A1647" t="str">
            <v>Поступление нефинансовых активов</v>
          </cell>
          <cell r="B1647" t="str">
            <v>904</v>
          </cell>
          <cell r="C1647" t="str">
            <v>09</v>
          </cell>
          <cell r="D1647" t="str">
            <v>09</v>
          </cell>
          <cell r="E1647" t="str">
            <v>795 31 00</v>
          </cell>
          <cell r="F1647" t="str">
            <v>500</v>
          </cell>
        </row>
        <row r="1648">
          <cell r="A1648" t="str">
            <v>Увеличение стоимости материальных запасов</v>
          </cell>
          <cell r="B1648" t="str">
            <v>904</v>
          </cell>
          <cell r="C1648" t="str">
            <v>09</v>
          </cell>
          <cell r="D1648" t="str">
            <v>09</v>
          </cell>
          <cell r="E1648" t="str">
            <v>795 00 00</v>
          </cell>
          <cell r="F1648" t="str">
            <v>500</v>
          </cell>
        </row>
        <row r="1649">
          <cell r="A1649" t="str">
            <v>Увеличение стоимости основных средств</v>
          </cell>
          <cell r="B1649" t="str">
            <v>904</v>
          </cell>
          <cell r="C1649" t="str">
            <v>09</v>
          </cell>
          <cell r="D1649" t="str">
            <v>09</v>
          </cell>
          <cell r="E1649" t="str">
            <v>795 12 00</v>
          </cell>
          <cell r="F1649" t="str">
            <v>500</v>
          </cell>
        </row>
        <row r="1650">
          <cell r="A1650" t="str">
            <v>Увеличение стоимости основных средств</v>
          </cell>
          <cell r="B1650" t="str">
            <v>904</v>
          </cell>
          <cell r="C1650" t="str">
            <v>09</v>
          </cell>
          <cell r="D1650" t="str">
            <v>09</v>
          </cell>
          <cell r="E1650" t="str">
            <v>795 13 00</v>
          </cell>
          <cell r="F1650" t="str">
            <v>500</v>
          </cell>
        </row>
        <row r="1651">
          <cell r="A1651" t="str">
            <v>Увеличение стоимости основных средств</v>
          </cell>
          <cell r="B1651" t="str">
            <v>904</v>
          </cell>
          <cell r="C1651" t="str">
            <v>09</v>
          </cell>
          <cell r="D1651" t="str">
            <v>09</v>
          </cell>
          <cell r="E1651" t="str">
            <v>795 16 00</v>
          </cell>
          <cell r="F1651" t="str">
            <v>500</v>
          </cell>
        </row>
        <row r="1652">
          <cell r="A1652" t="str">
            <v>Увеличение стоимости основных средств</v>
          </cell>
          <cell r="B1652" t="str">
            <v>904</v>
          </cell>
          <cell r="C1652" t="str">
            <v>09</v>
          </cell>
          <cell r="D1652" t="str">
            <v>09</v>
          </cell>
          <cell r="E1652" t="str">
            <v>795 15 00</v>
          </cell>
          <cell r="F1652" t="str">
            <v>500</v>
          </cell>
        </row>
        <row r="1653">
          <cell r="A1653" t="str">
            <v>Увеличение стоимости основных средств</v>
          </cell>
          <cell r="B1653" t="str">
            <v>904</v>
          </cell>
          <cell r="C1653" t="str">
            <v>09</v>
          </cell>
          <cell r="D1653" t="str">
            <v>09</v>
          </cell>
          <cell r="E1653" t="str">
            <v>795 11 00</v>
          </cell>
          <cell r="F1653" t="str">
            <v>500</v>
          </cell>
        </row>
        <row r="1654">
          <cell r="A1654" t="str">
            <v>Увеличение стоимости основных средств</v>
          </cell>
          <cell r="B1654" t="str">
            <v>904</v>
          </cell>
          <cell r="C1654" t="str">
            <v>09</v>
          </cell>
          <cell r="D1654" t="str">
            <v>09</v>
          </cell>
          <cell r="E1654" t="str">
            <v>795 14 00</v>
          </cell>
          <cell r="F1654" t="str">
            <v>500</v>
          </cell>
        </row>
        <row r="1655">
          <cell r="A1655" t="str">
            <v>Увеличение стоимости материальных запасов</v>
          </cell>
          <cell r="B1655" t="str">
            <v>904</v>
          </cell>
          <cell r="C1655" t="str">
            <v>09</v>
          </cell>
          <cell r="D1655" t="str">
            <v>09</v>
          </cell>
          <cell r="E1655" t="str">
            <v>795 31 00</v>
          </cell>
          <cell r="F1655" t="str">
            <v>500</v>
          </cell>
        </row>
        <row r="1656">
          <cell r="A1656" t="str">
            <v>Увеличение стоимости материальных запасов</v>
          </cell>
          <cell r="B1656" t="str">
            <v>904</v>
          </cell>
          <cell r="C1656" t="str">
            <v>09</v>
          </cell>
          <cell r="D1656" t="str">
            <v>09</v>
          </cell>
          <cell r="E1656" t="str">
            <v>795 11 00</v>
          </cell>
          <cell r="F1656" t="str">
            <v>500</v>
          </cell>
        </row>
        <row r="1657">
          <cell r="A1657" t="str">
            <v>Увеличение стоимости материальных запасов</v>
          </cell>
          <cell r="B1657" t="str">
            <v>904</v>
          </cell>
          <cell r="C1657" t="str">
            <v>09</v>
          </cell>
          <cell r="D1657" t="str">
            <v>09</v>
          </cell>
          <cell r="E1657" t="str">
            <v>795 13 00</v>
          </cell>
          <cell r="F1657" t="str">
            <v>500</v>
          </cell>
        </row>
        <row r="1658">
          <cell r="A1658" t="str">
            <v>Увеличение стоимости материальных запасов</v>
          </cell>
          <cell r="B1658" t="str">
            <v>904</v>
          </cell>
          <cell r="C1658" t="str">
            <v>09</v>
          </cell>
          <cell r="D1658" t="str">
            <v>09</v>
          </cell>
          <cell r="E1658" t="str">
            <v>795 14 00</v>
          </cell>
          <cell r="F1658" t="str">
            <v>500</v>
          </cell>
        </row>
        <row r="1659">
          <cell r="A1659" t="str">
            <v>Увеличение стоимости материальных запасов</v>
          </cell>
          <cell r="B1659" t="str">
            <v>904</v>
          </cell>
          <cell r="C1659" t="str">
            <v>09</v>
          </cell>
          <cell r="D1659" t="str">
            <v>09</v>
          </cell>
          <cell r="E1659" t="str">
            <v>795 15 00</v>
          </cell>
          <cell r="F1659" t="str">
            <v>500</v>
          </cell>
        </row>
        <row r="1660">
          <cell r="A1660" t="str">
            <v>Здравоохранение и спорт</v>
          </cell>
          <cell r="C1660" t="str">
            <v>09</v>
          </cell>
          <cell r="D1660" t="str">
            <v>00</v>
          </cell>
          <cell r="E1660" t="str">
            <v>000 00 00</v>
          </cell>
          <cell r="F1660" t="str">
            <v>000</v>
          </cell>
        </row>
        <row r="1661">
          <cell r="A1661" t="str">
            <v>Расходы</v>
          </cell>
          <cell r="C1661" t="str">
            <v>09</v>
          </cell>
          <cell r="D1661" t="str">
            <v>00</v>
          </cell>
          <cell r="E1661" t="str">
            <v>000 00 00</v>
          </cell>
          <cell r="F1661" t="str">
            <v>000</v>
          </cell>
        </row>
        <row r="1662">
          <cell r="A1662" t="str">
            <v>Оплата труда и начисления на оплату труда</v>
          </cell>
          <cell r="C1662" t="str">
            <v>09</v>
          </cell>
          <cell r="D1662" t="str">
            <v>00</v>
          </cell>
          <cell r="E1662" t="str">
            <v>000 00 00</v>
          </cell>
          <cell r="F1662" t="str">
            <v>000</v>
          </cell>
        </row>
        <row r="1663">
          <cell r="A1663" t="str">
            <v>Заработная плата</v>
          </cell>
          <cell r="C1663" t="str">
            <v>09</v>
          </cell>
          <cell r="D1663" t="str">
            <v>00</v>
          </cell>
          <cell r="E1663" t="str">
            <v>000 00 00</v>
          </cell>
          <cell r="F1663" t="str">
            <v>000</v>
          </cell>
        </row>
        <row r="1664">
          <cell r="A1664" t="str">
            <v>Прочие выплаты</v>
          </cell>
          <cell r="C1664" t="str">
            <v>09</v>
          </cell>
          <cell r="D1664" t="str">
            <v>00</v>
          </cell>
          <cell r="E1664" t="str">
            <v>000 00 00</v>
          </cell>
          <cell r="F1664" t="str">
            <v>000</v>
          </cell>
        </row>
        <row r="1665">
          <cell r="A1665" t="str">
            <v>Начисление на оплату труда</v>
          </cell>
          <cell r="C1665" t="str">
            <v>09</v>
          </cell>
          <cell r="D1665" t="str">
            <v>00</v>
          </cell>
          <cell r="E1665" t="str">
            <v>000 00 00</v>
          </cell>
          <cell r="F1665" t="str">
            <v>000</v>
          </cell>
        </row>
        <row r="1666">
          <cell r="A1666" t="str">
            <v>Приобретение услуг</v>
          </cell>
          <cell r="C1666" t="str">
            <v>09</v>
          </cell>
          <cell r="D1666" t="str">
            <v>00</v>
          </cell>
          <cell r="E1666" t="str">
            <v>000 00 00</v>
          </cell>
          <cell r="F1666" t="str">
            <v>000</v>
          </cell>
        </row>
        <row r="1667">
          <cell r="A1667" t="str">
            <v>Услуги связи </v>
          </cell>
          <cell r="C1667" t="str">
            <v>09</v>
          </cell>
          <cell r="D1667" t="str">
            <v>00</v>
          </cell>
          <cell r="E1667" t="str">
            <v>000 00 00</v>
          </cell>
          <cell r="F1667" t="str">
            <v>000</v>
          </cell>
        </row>
        <row r="1668">
          <cell r="A1668" t="str">
            <v>Транспортные услуги</v>
          </cell>
          <cell r="C1668" t="str">
            <v>09</v>
          </cell>
          <cell r="D1668" t="str">
            <v>00</v>
          </cell>
          <cell r="E1668" t="str">
            <v>000 00 00</v>
          </cell>
          <cell r="F1668" t="str">
            <v>000</v>
          </cell>
        </row>
        <row r="1669">
          <cell r="A1669" t="str">
            <v>Коммунальные услуги</v>
          </cell>
          <cell r="C1669" t="str">
            <v>09</v>
          </cell>
          <cell r="D1669" t="str">
            <v>00</v>
          </cell>
          <cell r="E1669" t="str">
            <v>000 00 00</v>
          </cell>
          <cell r="F1669" t="str">
            <v>000</v>
          </cell>
        </row>
        <row r="1670">
          <cell r="A1670" t="str">
            <v>Арендная плата за пользование иммуществом </v>
          </cell>
          <cell r="C1670" t="str">
            <v>09</v>
          </cell>
          <cell r="D1670" t="str">
            <v>00</v>
          </cell>
          <cell r="E1670" t="str">
            <v>000 00 00</v>
          </cell>
          <cell r="F1670" t="str">
            <v>000</v>
          </cell>
        </row>
        <row r="1671">
          <cell r="A1671" t="str">
            <v>Услуги по содержанию иммущества</v>
          </cell>
          <cell r="C1671" t="str">
            <v>09</v>
          </cell>
          <cell r="D1671" t="str">
            <v>00</v>
          </cell>
          <cell r="E1671" t="str">
            <v>000 00 00</v>
          </cell>
          <cell r="F1671" t="str">
            <v>000</v>
          </cell>
        </row>
        <row r="1672">
          <cell r="A1672" t="str">
            <v>Прочие услуги</v>
          </cell>
          <cell r="C1672" t="str">
            <v>09</v>
          </cell>
          <cell r="D1672" t="str">
            <v>00</v>
          </cell>
          <cell r="E1672" t="str">
            <v>000 00 00</v>
          </cell>
          <cell r="F1672" t="str">
            <v>000</v>
          </cell>
        </row>
        <row r="1673">
          <cell r="A1673" t="str">
            <v>Прочие расходы</v>
          </cell>
          <cell r="C1673" t="str">
            <v>09</v>
          </cell>
          <cell r="D1673" t="str">
            <v>00</v>
          </cell>
          <cell r="E1673" t="str">
            <v>000 00 00</v>
          </cell>
          <cell r="F1673" t="str">
            <v>000</v>
          </cell>
        </row>
        <row r="1674">
          <cell r="A1674" t="str">
            <v>Поступление нефинансовых активов</v>
          </cell>
          <cell r="C1674" t="str">
            <v>09</v>
          </cell>
          <cell r="D1674" t="str">
            <v>00</v>
          </cell>
          <cell r="E1674" t="str">
            <v>000 00 00</v>
          </cell>
          <cell r="F1674" t="str">
            <v>000</v>
          </cell>
        </row>
        <row r="1675">
          <cell r="A1675" t="str">
            <v>Увеличение стоимости основных средств</v>
          </cell>
          <cell r="C1675" t="str">
            <v>09</v>
          </cell>
          <cell r="D1675" t="str">
            <v>00</v>
          </cell>
          <cell r="E1675" t="str">
            <v>000 00 00</v>
          </cell>
          <cell r="F1675" t="str">
            <v>000</v>
          </cell>
        </row>
        <row r="1676">
          <cell r="A1676" t="str">
            <v>Увеличение стоимости материальных запасов</v>
          </cell>
          <cell r="C1676" t="str">
            <v>09</v>
          </cell>
          <cell r="D1676" t="str">
            <v>00</v>
          </cell>
          <cell r="E1676" t="str">
            <v>000 00 00</v>
          </cell>
          <cell r="F1676" t="str">
            <v>000</v>
          </cell>
        </row>
        <row r="1677">
          <cell r="A1677" t="str">
            <v>Безвозмездные и безвозвратные перечисления организациям</v>
          </cell>
          <cell r="C1677" t="str">
            <v>09</v>
          </cell>
          <cell r="D1677" t="str">
            <v>00</v>
          </cell>
          <cell r="E1677" t="str">
            <v>000 00 00</v>
          </cell>
          <cell r="F1677" t="str">
            <v>000</v>
          </cell>
        </row>
        <row r="1678">
          <cell r="A1678" t="str">
            <v>Безвозмездные и безвозвратные перечисления государственным и муниципальным организациям</v>
          </cell>
          <cell r="C1678" t="str">
            <v>09</v>
          </cell>
          <cell r="D1678" t="str">
            <v>00</v>
          </cell>
          <cell r="E1678" t="str">
            <v>000 00 00</v>
          </cell>
          <cell r="F1678" t="str">
            <v>000 </v>
          </cell>
        </row>
        <row r="1679">
          <cell r="A1679" t="str">
            <v>Безвозмездные и безвозвратные перичисления бюджетам</v>
          </cell>
          <cell r="C1679" t="str">
            <v>09</v>
          </cell>
          <cell r="D1679" t="str">
            <v>00</v>
          </cell>
          <cell r="E1679" t="str">
            <v>000 00 00</v>
          </cell>
          <cell r="F1679" t="str">
            <v>000</v>
          </cell>
        </row>
        <row r="1680">
          <cell r="A1680" t="str">
            <v>Перечисления другим бюджетам бюджетной системы РФ</v>
          </cell>
          <cell r="C1680" t="str">
            <v>09</v>
          </cell>
          <cell r="D1680" t="str">
            <v>00</v>
          </cell>
          <cell r="E1680" t="str">
            <v>000 00 00</v>
          </cell>
          <cell r="F1680" t="str">
            <v>000</v>
          </cell>
        </row>
        <row r="1681">
          <cell r="A1681" t="str">
            <v>Пособие по социальной помощи населению </v>
          </cell>
          <cell r="C1681" t="str">
            <v>09</v>
          </cell>
          <cell r="D1681" t="str">
            <v>00</v>
          </cell>
          <cell r="E1681" t="str">
            <v>000 00 00</v>
          </cell>
          <cell r="F1681" t="str">
            <v>000</v>
          </cell>
        </row>
        <row r="1682">
          <cell r="A1682" t="str">
            <v>ИТОГО:</v>
          </cell>
          <cell r="C1682" t="str">
            <v>09</v>
          </cell>
          <cell r="D1682" t="str">
            <v>00</v>
          </cell>
          <cell r="E1682" t="str">
            <v>000 00 00</v>
          </cell>
          <cell r="F1682" t="str">
            <v>000</v>
          </cell>
        </row>
        <row r="1683">
          <cell r="A1683" t="str">
            <v>Социальная политика</v>
          </cell>
          <cell r="C1683" t="str">
            <v>10</v>
          </cell>
          <cell r="D1683" t="str">
            <v>00</v>
          </cell>
          <cell r="E1683" t="str">
            <v>000 00 00</v>
          </cell>
          <cell r="F1683" t="str">
            <v>000</v>
          </cell>
        </row>
        <row r="1684">
          <cell r="A1684" t="str">
            <v>Пенсионное обеспечение </v>
          </cell>
          <cell r="B1684" t="str">
            <v>902</v>
          </cell>
          <cell r="C1684" t="str">
            <v>10</v>
          </cell>
          <cell r="D1684" t="str">
            <v>01</v>
          </cell>
          <cell r="E1684" t="str">
            <v>000 00 00</v>
          </cell>
          <cell r="F1684" t="str">
            <v>000</v>
          </cell>
        </row>
        <row r="1685">
          <cell r="A1685" t="str">
            <v>Пенсии </v>
          </cell>
          <cell r="B1685" t="str">
            <v>902</v>
          </cell>
          <cell r="C1685" t="str">
            <v>10</v>
          </cell>
          <cell r="D1685" t="str">
            <v>01</v>
          </cell>
          <cell r="E1685" t="str">
            <v>490 00 00</v>
          </cell>
          <cell r="F1685" t="str">
            <v>000</v>
          </cell>
        </row>
        <row r="1686">
          <cell r="A1686" t="str">
            <v>Доплаты к пенсиям государственных служащих субъектов РФ и муниципальных служащих</v>
          </cell>
          <cell r="B1686" t="str">
            <v>902</v>
          </cell>
          <cell r="C1686" t="str">
            <v>10</v>
          </cell>
          <cell r="D1686" t="str">
            <v>01</v>
          </cell>
          <cell r="E1686" t="str">
            <v>491 01 00</v>
          </cell>
          <cell r="F1686" t="str">
            <v>000</v>
          </cell>
        </row>
        <row r="1687">
          <cell r="A1687" t="str">
            <v>Социальные выплаты</v>
          </cell>
          <cell r="B1687" t="str">
            <v>902</v>
          </cell>
          <cell r="C1687" t="str">
            <v>10</v>
          </cell>
          <cell r="D1687" t="str">
            <v>01</v>
          </cell>
          <cell r="E1687" t="str">
            <v>491 01 00</v>
          </cell>
          <cell r="F1687" t="str">
            <v>005</v>
          </cell>
        </row>
        <row r="1688">
          <cell r="A1688" t="str">
            <v>Расходы</v>
          </cell>
          <cell r="B1688" t="str">
            <v>902</v>
          </cell>
          <cell r="C1688" t="str">
            <v>10</v>
          </cell>
          <cell r="D1688" t="str">
            <v>01</v>
          </cell>
          <cell r="E1688" t="str">
            <v>491 01 00</v>
          </cell>
          <cell r="F1688" t="str">
            <v>005</v>
          </cell>
        </row>
        <row r="1689">
          <cell r="A1689" t="str">
            <v>Социальное обеспечение </v>
          </cell>
          <cell r="B1689" t="str">
            <v>902</v>
          </cell>
          <cell r="C1689" t="str">
            <v>10</v>
          </cell>
          <cell r="D1689" t="str">
            <v>01</v>
          </cell>
          <cell r="E1689" t="str">
            <v>491 01 00</v>
          </cell>
          <cell r="F1689" t="str">
            <v>005</v>
          </cell>
        </row>
        <row r="1690">
          <cell r="A1690" t="str">
            <v>Пенсии, пособия, выплачиваемые организациями сектора государственного управления</v>
          </cell>
          <cell r="B1690" t="str">
            <v>902</v>
          </cell>
          <cell r="C1690" t="str">
            <v>10</v>
          </cell>
          <cell r="D1690" t="str">
            <v>01</v>
          </cell>
          <cell r="E1690" t="str">
            <v>491 01 00</v>
          </cell>
          <cell r="F1690" t="str">
            <v>005</v>
          </cell>
        </row>
        <row r="1691">
          <cell r="A1691" t="str">
            <v>Пенсии, пособия, выплачиваемые организациями сектора государственного управления </v>
          </cell>
          <cell r="B1691" t="str">
            <v>902</v>
          </cell>
          <cell r="C1691" t="str">
            <v>10</v>
          </cell>
          <cell r="D1691" t="str">
            <v>02</v>
          </cell>
          <cell r="E1691" t="str">
            <v>000 00 00</v>
          </cell>
          <cell r="F1691" t="str">
            <v>000</v>
          </cell>
        </row>
        <row r="1692">
          <cell r="A1692" t="str">
            <v>Пенсии, пособия, выплачиваемые организациями сектора государственного управления </v>
          </cell>
          <cell r="B1692" t="str">
            <v>902</v>
          </cell>
          <cell r="C1692" t="str">
            <v>10</v>
          </cell>
          <cell r="D1692" t="str">
            <v>02</v>
          </cell>
          <cell r="E1692" t="str">
            <v>501 00 00</v>
          </cell>
          <cell r="F1692" t="str">
            <v>000</v>
          </cell>
        </row>
        <row r="1693">
          <cell r="A1693" t="str">
            <v>Пенсии, пособия, выплачиваемые организациями сектора государственного управления </v>
          </cell>
          <cell r="B1693" t="str">
            <v>902</v>
          </cell>
          <cell r="C1693" t="str">
            <v>10</v>
          </cell>
          <cell r="D1693" t="str">
            <v>02</v>
          </cell>
          <cell r="E1693" t="str">
            <v>501 00 00</v>
          </cell>
          <cell r="F1693" t="str">
            <v>327</v>
          </cell>
        </row>
        <row r="1694">
          <cell r="A1694" t="str">
            <v>Пенсии, пособия, выплачиваемые организациями сектора государственного управления </v>
          </cell>
          <cell r="B1694" t="str">
            <v>902</v>
          </cell>
          <cell r="C1694" t="str">
            <v>10</v>
          </cell>
          <cell r="D1694" t="str">
            <v>02</v>
          </cell>
          <cell r="E1694" t="str">
            <v>501 00 00</v>
          </cell>
          <cell r="F1694" t="str">
            <v>327</v>
          </cell>
        </row>
        <row r="1695">
          <cell r="A1695" t="str">
            <v>Пенсии, пособия, выплачиваемые организациями сектора государственного управления </v>
          </cell>
          <cell r="B1695" t="str">
            <v>902</v>
          </cell>
          <cell r="C1695" t="str">
            <v>10</v>
          </cell>
          <cell r="D1695" t="str">
            <v>02</v>
          </cell>
          <cell r="E1695" t="str">
            <v>501 00 00</v>
          </cell>
          <cell r="F1695" t="str">
            <v>327</v>
          </cell>
        </row>
        <row r="1696">
          <cell r="A1696" t="str">
            <v>Пенсии, пособия, выплачиваемые организациями сектора государственного управления </v>
          </cell>
          <cell r="B1696" t="str">
            <v>902</v>
          </cell>
          <cell r="C1696" t="str">
            <v>10</v>
          </cell>
          <cell r="D1696" t="str">
            <v>02</v>
          </cell>
          <cell r="E1696" t="str">
            <v>501 00 00</v>
          </cell>
          <cell r="F1696" t="str">
            <v>327</v>
          </cell>
        </row>
        <row r="1697">
          <cell r="A1697" t="str">
            <v>Пенсии, пособия, выплачиваемые организациями сектора государственного управления </v>
          </cell>
          <cell r="B1697" t="str">
            <v>902</v>
          </cell>
          <cell r="C1697" t="str">
            <v>10</v>
          </cell>
          <cell r="D1697" t="str">
            <v>02</v>
          </cell>
          <cell r="E1697" t="str">
            <v>501 00 00</v>
          </cell>
          <cell r="F1697" t="str">
            <v>327</v>
          </cell>
        </row>
        <row r="1698">
          <cell r="A1698" t="str">
            <v>Пенсии, пособия, выплачиваемые организациями сектора государственного управления </v>
          </cell>
          <cell r="B1698" t="str">
            <v>902</v>
          </cell>
          <cell r="C1698" t="str">
            <v>10</v>
          </cell>
          <cell r="D1698" t="str">
            <v>02</v>
          </cell>
          <cell r="E1698" t="str">
            <v>501 00 00</v>
          </cell>
          <cell r="F1698" t="str">
            <v>327</v>
          </cell>
        </row>
        <row r="1699">
          <cell r="A1699" t="str">
            <v>Пенсии, пособия, выплачиваемые организациями сектора государственного управления </v>
          </cell>
          <cell r="B1699" t="str">
            <v>902</v>
          </cell>
          <cell r="C1699" t="str">
            <v>10</v>
          </cell>
          <cell r="D1699" t="str">
            <v>02</v>
          </cell>
          <cell r="E1699" t="str">
            <v>501 00 00</v>
          </cell>
          <cell r="F1699" t="str">
            <v>327</v>
          </cell>
        </row>
        <row r="1700">
          <cell r="A1700" t="str">
            <v>Пенсии, пособия, выплачиваемые организациями сектора государственного управления </v>
          </cell>
          <cell r="B1700" t="str">
            <v>902</v>
          </cell>
          <cell r="C1700" t="str">
            <v>10</v>
          </cell>
          <cell r="D1700" t="str">
            <v>02</v>
          </cell>
          <cell r="E1700" t="str">
            <v>501 00 00</v>
          </cell>
          <cell r="F1700" t="str">
            <v>327</v>
          </cell>
        </row>
        <row r="1701">
          <cell r="A1701" t="str">
            <v>Пенсии, пособия, выплачиваемые организациями сектора государственного управления </v>
          </cell>
          <cell r="B1701" t="str">
            <v>902</v>
          </cell>
          <cell r="C1701" t="str">
            <v>10</v>
          </cell>
          <cell r="D1701" t="str">
            <v>02</v>
          </cell>
          <cell r="E1701" t="str">
            <v>501 00 00</v>
          </cell>
          <cell r="F1701" t="str">
            <v>327</v>
          </cell>
        </row>
        <row r="1702">
          <cell r="A1702" t="str">
            <v>Пенсии, пособия, выплачиваемые организациями сектора государственного управления </v>
          </cell>
          <cell r="B1702" t="str">
            <v>902</v>
          </cell>
          <cell r="C1702" t="str">
            <v>10</v>
          </cell>
          <cell r="D1702" t="str">
            <v>02</v>
          </cell>
          <cell r="E1702" t="str">
            <v>501 00 00</v>
          </cell>
          <cell r="F1702" t="str">
            <v>327</v>
          </cell>
        </row>
        <row r="1703">
          <cell r="A1703" t="str">
            <v>Пенсии, пособия, выплачиваемые организациями сектора государственного управления </v>
          </cell>
          <cell r="B1703" t="str">
            <v>902</v>
          </cell>
          <cell r="C1703" t="str">
            <v>10</v>
          </cell>
          <cell r="D1703" t="str">
            <v>02</v>
          </cell>
          <cell r="E1703" t="str">
            <v>501 00 00</v>
          </cell>
          <cell r="F1703" t="str">
            <v>327</v>
          </cell>
        </row>
        <row r="1704">
          <cell r="A1704" t="str">
            <v>Пенсии, пособия, выплачиваемые организациями сектора государственного управления </v>
          </cell>
          <cell r="B1704" t="str">
            <v>902</v>
          </cell>
          <cell r="C1704" t="str">
            <v>10</v>
          </cell>
          <cell r="D1704" t="str">
            <v>02</v>
          </cell>
          <cell r="E1704" t="str">
            <v>501 00 00</v>
          </cell>
          <cell r="F1704" t="str">
            <v>327</v>
          </cell>
        </row>
        <row r="1705">
          <cell r="A1705" t="str">
            <v>Пенсии, пособия, выплачиваемые организациями сектора государственного управления </v>
          </cell>
          <cell r="B1705" t="str">
            <v>902</v>
          </cell>
          <cell r="C1705" t="str">
            <v>10</v>
          </cell>
          <cell r="D1705" t="str">
            <v>02</v>
          </cell>
          <cell r="E1705" t="str">
            <v>501 00 00</v>
          </cell>
          <cell r="F1705" t="str">
            <v>327</v>
          </cell>
        </row>
        <row r="1706">
          <cell r="A1706" t="str">
            <v>Пенсии, пособия, выплачиваемые организациями сектора государственного управления </v>
          </cell>
          <cell r="B1706" t="str">
            <v>902</v>
          </cell>
          <cell r="C1706" t="str">
            <v>10</v>
          </cell>
          <cell r="D1706" t="str">
            <v>02</v>
          </cell>
          <cell r="E1706" t="str">
            <v>501 00 00</v>
          </cell>
          <cell r="F1706" t="str">
            <v>327</v>
          </cell>
        </row>
        <row r="1707">
          <cell r="A1707" t="str">
            <v>Пенсии, пособия, выплачиваемые организациями сектора государственного управления </v>
          </cell>
          <cell r="B1707" t="str">
            <v>902</v>
          </cell>
          <cell r="C1707" t="str">
            <v>10</v>
          </cell>
          <cell r="D1707" t="str">
            <v>02</v>
          </cell>
          <cell r="E1707" t="str">
            <v>501 00 00</v>
          </cell>
          <cell r="F1707" t="str">
            <v>327</v>
          </cell>
        </row>
        <row r="1708">
          <cell r="A1708" t="str">
            <v>Пенсии, пособия, выплачиваемые организациями сектора государственного управления </v>
          </cell>
          <cell r="B1708" t="str">
            <v>902</v>
          </cell>
          <cell r="C1708" t="str">
            <v>10</v>
          </cell>
          <cell r="D1708" t="str">
            <v>02</v>
          </cell>
          <cell r="E1708" t="str">
            <v>501 00 00</v>
          </cell>
          <cell r="F1708" t="str">
            <v>327</v>
          </cell>
        </row>
        <row r="1709">
          <cell r="B1709" t="str">
            <v>902</v>
          </cell>
        </row>
        <row r="1710">
          <cell r="B1710" t="str">
            <v>902</v>
          </cell>
        </row>
        <row r="1711">
          <cell r="A1711" t="str">
            <v>Учреждения социального обслуживания населения </v>
          </cell>
          <cell r="B1711" t="str">
            <v>902</v>
          </cell>
          <cell r="C1711" t="str">
            <v>10</v>
          </cell>
          <cell r="D1711" t="str">
            <v>02</v>
          </cell>
          <cell r="E1711" t="str">
            <v>506 00 00</v>
          </cell>
          <cell r="F1711" t="str">
            <v>000 </v>
          </cell>
        </row>
        <row r="1712">
          <cell r="A1712" t="str">
            <v>Обеспечение деятельности подведомственных учреждений</v>
          </cell>
          <cell r="B1712" t="str">
            <v>902</v>
          </cell>
          <cell r="C1712" t="str">
            <v>10</v>
          </cell>
          <cell r="D1712" t="str">
            <v>02</v>
          </cell>
          <cell r="E1712" t="str">
            <v>506 00 00</v>
          </cell>
          <cell r="F1712" t="str">
            <v>327</v>
          </cell>
        </row>
        <row r="1713">
          <cell r="A1713" t="str">
            <v>Оплата труда и начисления на оплату труда</v>
          </cell>
          <cell r="B1713" t="str">
            <v>902</v>
          </cell>
          <cell r="C1713" t="str">
            <v>10</v>
          </cell>
          <cell r="D1713" t="str">
            <v>02</v>
          </cell>
          <cell r="E1713" t="str">
            <v>506 00 00</v>
          </cell>
          <cell r="F1713" t="str">
            <v>327</v>
          </cell>
        </row>
        <row r="1714">
          <cell r="A1714" t="str">
            <v>Заработная плата</v>
          </cell>
          <cell r="B1714" t="str">
            <v>902</v>
          </cell>
          <cell r="C1714" t="str">
            <v>10</v>
          </cell>
          <cell r="D1714" t="str">
            <v>02</v>
          </cell>
          <cell r="E1714" t="str">
            <v>506 00 00</v>
          </cell>
          <cell r="F1714" t="str">
            <v>327</v>
          </cell>
        </row>
        <row r="1715">
          <cell r="A1715" t="str">
            <v>Прочие выплаты</v>
          </cell>
          <cell r="B1715" t="str">
            <v>902</v>
          </cell>
          <cell r="C1715" t="str">
            <v>10</v>
          </cell>
          <cell r="D1715" t="str">
            <v>02</v>
          </cell>
          <cell r="E1715" t="str">
            <v>506 00 00</v>
          </cell>
          <cell r="F1715" t="str">
            <v>327</v>
          </cell>
        </row>
        <row r="1716">
          <cell r="A1716" t="str">
            <v>Начисление на оплату труда</v>
          </cell>
          <cell r="B1716" t="str">
            <v>902</v>
          </cell>
          <cell r="C1716" t="str">
            <v>10</v>
          </cell>
          <cell r="D1716" t="str">
            <v>02</v>
          </cell>
          <cell r="E1716" t="str">
            <v>506 00 00</v>
          </cell>
          <cell r="F1716" t="str">
            <v>327</v>
          </cell>
        </row>
        <row r="1717">
          <cell r="A1717" t="str">
            <v>Приобретение услуг</v>
          </cell>
          <cell r="B1717" t="str">
            <v>902</v>
          </cell>
          <cell r="C1717" t="str">
            <v>10</v>
          </cell>
          <cell r="D1717" t="str">
            <v>02</v>
          </cell>
          <cell r="E1717" t="str">
            <v>506 00 00</v>
          </cell>
          <cell r="F1717" t="str">
            <v>327</v>
          </cell>
        </row>
        <row r="1718">
          <cell r="A1718" t="str">
            <v>Услуги связи </v>
          </cell>
          <cell r="B1718" t="str">
            <v>902</v>
          </cell>
          <cell r="C1718" t="str">
            <v>10</v>
          </cell>
          <cell r="D1718" t="str">
            <v>02</v>
          </cell>
          <cell r="E1718" t="str">
            <v>506 00 00</v>
          </cell>
          <cell r="F1718" t="str">
            <v>327</v>
          </cell>
        </row>
        <row r="1719">
          <cell r="A1719" t="str">
            <v>Транспортные услуги</v>
          </cell>
          <cell r="B1719" t="str">
            <v>902</v>
          </cell>
          <cell r="C1719" t="str">
            <v>10</v>
          </cell>
          <cell r="D1719" t="str">
            <v>02</v>
          </cell>
          <cell r="E1719" t="str">
            <v>506 00 00</v>
          </cell>
          <cell r="F1719" t="str">
            <v>327</v>
          </cell>
        </row>
        <row r="1720">
          <cell r="A1720" t="str">
            <v>Коммунальные услуги</v>
          </cell>
          <cell r="B1720" t="str">
            <v>902</v>
          </cell>
          <cell r="C1720" t="str">
            <v>10</v>
          </cell>
          <cell r="D1720" t="str">
            <v>02</v>
          </cell>
          <cell r="E1720" t="str">
            <v>506 00 00</v>
          </cell>
          <cell r="F1720" t="str">
            <v>327</v>
          </cell>
        </row>
        <row r="1721">
          <cell r="A1721" t="str">
            <v>Арендная плата за пользование иммуществом </v>
          </cell>
          <cell r="B1721" t="str">
            <v>902</v>
          </cell>
          <cell r="C1721" t="str">
            <v>10</v>
          </cell>
          <cell r="D1721" t="str">
            <v>02</v>
          </cell>
          <cell r="E1721" t="str">
            <v>506 00 00</v>
          </cell>
          <cell r="F1721" t="str">
            <v>327</v>
          </cell>
        </row>
        <row r="1722">
          <cell r="A1722" t="str">
            <v>Услуги по содержанию иммущества</v>
          </cell>
          <cell r="B1722" t="str">
            <v>902</v>
          </cell>
          <cell r="C1722" t="str">
            <v>10</v>
          </cell>
          <cell r="D1722" t="str">
            <v>02</v>
          </cell>
          <cell r="E1722" t="str">
            <v>506 00 00</v>
          </cell>
          <cell r="F1722" t="str">
            <v>327</v>
          </cell>
        </row>
        <row r="1723">
          <cell r="A1723" t="str">
            <v>Прочие услуги</v>
          </cell>
          <cell r="B1723" t="str">
            <v>902</v>
          </cell>
          <cell r="C1723" t="str">
            <v>10</v>
          </cell>
          <cell r="D1723" t="str">
            <v>02</v>
          </cell>
          <cell r="E1723" t="str">
            <v>506 00 00</v>
          </cell>
          <cell r="F1723" t="str">
            <v>327</v>
          </cell>
        </row>
        <row r="1724">
          <cell r="A1724" t="str">
            <v>Прочие расходы </v>
          </cell>
          <cell r="B1724" t="str">
            <v>902</v>
          </cell>
          <cell r="C1724" t="str">
            <v>10</v>
          </cell>
          <cell r="D1724" t="str">
            <v>02</v>
          </cell>
          <cell r="E1724" t="str">
            <v>506 00 00</v>
          </cell>
          <cell r="F1724" t="str">
            <v>327</v>
          </cell>
        </row>
        <row r="1725">
          <cell r="A1725" t="str">
            <v>Поступление нефинансовых активов</v>
          </cell>
          <cell r="B1725" t="str">
            <v>902</v>
          </cell>
          <cell r="C1725" t="str">
            <v>10</v>
          </cell>
          <cell r="D1725" t="str">
            <v>02</v>
          </cell>
          <cell r="E1725" t="str">
            <v>506 00 00</v>
          </cell>
          <cell r="F1725" t="str">
            <v>327</v>
          </cell>
        </row>
        <row r="1726">
          <cell r="A1726" t="str">
            <v>Увеличение стоимости основных средств</v>
          </cell>
          <cell r="B1726" t="str">
            <v>902</v>
          </cell>
          <cell r="C1726" t="str">
            <v>10</v>
          </cell>
          <cell r="D1726" t="str">
            <v>02</v>
          </cell>
          <cell r="E1726" t="str">
            <v>506 00 00</v>
          </cell>
          <cell r="F1726" t="str">
            <v>327</v>
          </cell>
        </row>
        <row r="1727">
          <cell r="A1727" t="str">
            <v>Увеличение стоимости материальных запасов</v>
          </cell>
          <cell r="B1727" t="str">
            <v>902</v>
          </cell>
          <cell r="C1727" t="str">
            <v>10</v>
          </cell>
          <cell r="D1727" t="str">
            <v>02</v>
          </cell>
          <cell r="E1727" t="str">
            <v>506 00 00</v>
          </cell>
          <cell r="F1727" t="str">
            <v>327</v>
          </cell>
        </row>
        <row r="1728">
          <cell r="A1728" t="str">
            <v>Социальное обеспечение населения </v>
          </cell>
          <cell r="B1728" t="str">
            <v>902</v>
          </cell>
          <cell r="C1728" t="str">
            <v>10</v>
          </cell>
          <cell r="D1728" t="str">
            <v>03</v>
          </cell>
          <cell r="E1728" t="str">
            <v>000 00 00</v>
          </cell>
          <cell r="F1728" t="str">
            <v>000</v>
          </cell>
        </row>
        <row r="1729">
          <cell r="A1729" t="str">
            <v>Фонд софинансирования социальных расходов </v>
          </cell>
          <cell r="B1729" t="str">
            <v>902</v>
          </cell>
          <cell r="C1729" t="str">
            <v>10</v>
          </cell>
          <cell r="D1729" t="str">
            <v>03</v>
          </cell>
          <cell r="E1729" t="str">
            <v>515 00 00</v>
          </cell>
          <cell r="F1729" t="str">
            <v>000 </v>
          </cell>
        </row>
        <row r="1730">
          <cell r="A1730" t="str">
            <v>Предоставление льгот ветеранам труда за счет средств бюджетов субъектов РФ и местных бюджетов </v>
          </cell>
          <cell r="B1730" t="str">
            <v>902</v>
          </cell>
          <cell r="C1730" t="str">
            <v>10</v>
          </cell>
          <cell r="D1730" t="str">
            <v>03</v>
          </cell>
          <cell r="E1730" t="str">
            <v>515 00 00</v>
          </cell>
          <cell r="F1730" t="str">
            <v>563</v>
          </cell>
        </row>
        <row r="1731">
          <cell r="A1731" t="str">
            <v>Пособие по социальной помощи населению </v>
          </cell>
          <cell r="B1731" t="str">
            <v>902</v>
          </cell>
          <cell r="C1731" t="str">
            <v>10</v>
          </cell>
          <cell r="D1731" t="str">
            <v>03</v>
          </cell>
          <cell r="E1731" t="str">
            <v>515 00 00</v>
          </cell>
          <cell r="F1731" t="str">
            <v>563</v>
          </cell>
        </row>
        <row r="1732">
          <cell r="A1732" t="str">
            <v>Дотации и субвенции </v>
          </cell>
          <cell r="B1732" t="str">
            <v>902</v>
          </cell>
          <cell r="C1732" t="str">
            <v>10</v>
          </cell>
          <cell r="D1732" t="str">
            <v>03</v>
          </cell>
          <cell r="E1732" t="str">
            <v>517 00 00</v>
          </cell>
          <cell r="F1732" t="str">
            <v>000</v>
          </cell>
        </row>
        <row r="1733">
          <cell r="A1733" t="str">
            <v>Погашение задолженности бюджетов по обязательствам, вытекающим из закона РФ " О реабилитации жертв политических репрессий" </v>
          </cell>
          <cell r="B1733" t="str">
            <v>902</v>
          </cell>
          <cell r="C1733" t="str">
            <v>10</v>
          </cell>
          <cell r="D1733" t="str">
            <v>03</v>
          </cell>
          <cell r="E1733" t="str">
            <v>517 00 00</v>
          </cell>
          <cell r="F1733" t="str">
            <v>479</v>
          </cell>
        </row>
        <row r="1734">
          <cell r="A1734" t="str">
            <v>Пособия по социальной помощи населению </v>
          </cell>
          <cell r="B1734" t="str">
            <v>902</v>
          </cell>
          <cell r="C1734" t="str">
            <v>10</v>
          </cell>
          <cell r="D1734" t="str">
            <v>03</v>
          </cell>
          <cell r="E1734" t="str">
            <v>517 00 00</v>
          </cell>
          <cell r="F1734" t="str">
            <v>479</v>
          </cell>
        </row>
        <row r="1735">
          <cell r="A1735" t="str">
            <v>Региональные целевые программы </v>
          </cell>
          <cell r="B1735" t="str">
            <v>902</v>
          </cell>
          <cell r="C1735" t="str">
            <v>10</v>
          </cell>
          <cell r="D1735" t="str">
            <v>03</v>
          </cell>
          <cell r="E1735" t="str">
            <v>522 00 00</v>
          </cell>
          <cell r="F1735" t="str">
            <v>000</v>
          </cell>
        </row>
        <row r="1736">
          <cell r="A1736" t="str">
            <v>Мероприятия в области социальной политики </v>
          </cell>
          <cell r="B1736" t="str">
            <v>902</v>
          </cell>
          <cell r="C1736" t="str">
            <v>10</v>
          </cell>
          <cell r="D1736" t="str">
            <v>03</v>
          </cell>
          <cell r="E1736" t="str">
            <v>522 00 00</v>
          </cell>
          <cell r="F1736" t="str">
            <v>482</v>
          </cell>
        </row>
        <row r="1737">
          <cell r="A1737" t="str">
            <v>Социальное обеспечение населения </v>
          </cell>
          <cell r="B1737" t="str">
            <v>902</v>
          </cell>
          <cell r="C1737" t="str">
            <v>10</v>
          </cell>
          <cell r="D1737" t="str">
            <v>03</v>
          </cell>
          <cell r="E1737" t="str">
            <v>000 00 00</v>
          </cell>
          <cell r="F1737" t="str">
            <v>000 </v>
          </cell>
        </row>
        <row r="1738">
          <cell r="A1738" t="str">
            <v>Фонд компенсации </v>
          </cell>
          <cell r="B1738" t="str">
            <v>902</v>
          </cell>
          <cell r="C1738" t="str">
            <v>10</v>
          </cell>
          <cell r="D1738" t="str">
            <v>03</v>
          </cell>
          <cell r="E1738" t="str">
            <v>519 00 00</v>
          </cell>
          <cell r="F1738" t="str">
            <v>000</v>
          </cell>
        </row>
        <row r="1739">
          <cell r="A1739" t="str">
            <v>Субвенции на оплату жилищно-коммунальных услуг отдельным категориям граждан</v>
          </cell>
          <cell r="B1739" t="str">
            <v>902</v>
          </cell>
          <cell r="C1739" t="str">
            <v>10</v>
          </cell>
          <cell r="D1739" t="str">
            <v>03</v>
          </cell>
          <cell r="E1739" t="str">
            <v>519 00 00</v>
          </cell>
          <cell r="F1739" t="str">
            <v>561</v>
          </cell>
        </row>
        <row r="1740">
          <cell r="A1740" t="str">
            <v>Пособие по социальной помощи населению </v>
          </cell>
          <cell r="B1740" t="str">
            <v>902</v>
          </cell>
          <cell r="C1740" t="str">
            <v>10</v>
          </cell>
          <cell r="D1740" t="str">
            <v>03</v>
          </cell>
          <cell r="E1740" t="str">
            <v>519 00 00</v>
          </cell>
          <cell r="F1740" t="str">
            <v>561</v>
          </cell>
        </row>
        <row r="1741">
          <cell r="A1741" t="str">
            <v>Пособия по социальной помощи населению </v>
          </cell>
          <cell r="B1741" t="str">
            <v>902</v>
          </cell>
          <cell r="C1741" t="str">
            <v>10</v>
          </cell>
          <cell r="D1741" t="str">
            <v>03</v>
          </cell>
          <cell r="E1741" t="str">
            <v>522 00 00</v>
          </cell>
          <cell r="F1741" t="str">
            <v>482</v>
          </cell>
        </row>
        <row r="1742">
          <cell r="A1742" t="str">
            <v>Борьба с беспризорностью, опека, попечительство</v>
          </cell>
          <cell r="B1742" t="str">
            <v>902</v>
          </cell>
          <cell r="C1742" t="str">
            <v>10</v>
          </cell>
          <cell r="D1742" t="str">
            <v>04</v>
          </cell>
          <cell r="E1742" t="str">
            <v>000 00 00</v>
          </cell>
          <cell r="F1742" t="str">
            <v>000</v>
          </cell>
        </row>
        <row r="1743">
          <cell r="A1743" t="str">
            <v>Мероприятия по борьбе с беспризорностью, по опеке и попечительству </v>
          </cell>
          <cell r="B1743" t="str">
            <v>902</v>
          </cell>
          <cell r="C1743" t="str">
            <v>10</v>
          </cell>
          <cell r="D1743" t="str">
            <v>04</v>
          </cell>
          <cell r="E1743" t="str">
            <v>511 00 00</v>
          </cell>
          <cell r="F1743" t="str">
            <v>000</v>
          </cell>
        </row>
        <row r="1744">
          <cell r="A1744" t="str">
            <v>Другие пособия и компенсации </v>
          </cell>
          <cell r="B1744" t="str">
            <v>902</v>
          </cell>
          <cell r="C1744" t="str">
            <v>10</v>
          </cell>
          <cell r="D1744" t="str">
            <v>04</v>
          </cell>
          <cell r="E1744" t="str">
            <v>511 00 00</v>
          </cell>
          <cell r="F1744" t="str">
            <v>755</v>
          </cell>
        </row>
        <row r="1745">
          <cell r="A1745" t="str">
            <v>Пособия по социальной помощи населению </v>
          </cell>
          <cell r="B1745" t="str">
            <v>902</v>
          </cell>
          <cell r="C1745" t="str">
            <v>10</v>
          </cell>
          <cell r="D1745" t="str">
            <v>04</v>
          </cell>
          <cell r="E1745" t="str">
            <v>511 00 00</v>
          </cell>
          <cell r="F1745" t="str">
            <v>755</v>
          </cell>
        </row>
        <row r="1746">
          <cell r="A1746" t="str">
            <v>Региональные целевые программы </v>
          </cell>
          <cell r="B1746" t="str">
            <v>902</v>
          </cell>
          <cell r="C1746" t="str">
            <v>10</v>
          </cell>
          <cell r="D1746" t="str">
            <v>04</v>
          </cell>
          <cell r="E1746" t="str">
            <v>522 00 00</v>
          </cell>
          <cell r="F1746" t="str">
            <v>000</v>
          </cell>
        </row>
        <row r="1747">
          <cell r="A1747" t="str">
            <v>Профилактика безнадзорности и правонарушений несовершеннолетних</v>
          </cell>
          <cell r="B1747" t="str">
            <v>902</v>
          </cell>
          <cell r="C1747" t="str">
            <v>10</v>
          </cell>
          <cell r="D1747" t="str">
            <v>04</v>
          </cell>
          <cell r="E1747" t="str">
            <v>522 00 00</v>
          </cell>
          <cell r="F1747" t="str">
            <v>481</v>
          </cell>
        </row>
        <row r="1748">
          <cell r="A1748" t="str">
            <v>Прочие расходы </v>
          </cell>
          <cell r="B1748" t="str">
            <v>902</v>
          </cell>
          <cell r="C1748" t="str">
            <v>10</v>
          </cell>
          <cell r="D1748" t="str">
            <v>04</v>
          </cell>
          <cell r="E1748" t="str">
            <v>522 00 00</v>
          </cell>
          <cell r="F1748" t="str">
            <v>481</v>
          </cell>
        </row>
        <row r="1749">
          <cell r="A1749" t="str">
            <v>Другие вопросы в области социальной политики</v>
          </cell>
          <cell r="B1749" t="str">
            <v>902</v>
          </cell>
          <cell r="C1749" t="str">
            <v>10</v>
          </cell>
          <cell r="D1749" t="str">
            <v>06</v>
          </cell>
          <cell r="E1749" t="str">
            <v>000 00 00</v>
          </cell>
          <cell r="F1749" t="str">
            <v>000</v>
          </cell>
        </row>
        <row r="1750">
          <cell r="A1750" t="str">
            <v>Руководство и управление в сфере установленных функций</v>
          </cell>
          <cell r="B1750" t="str">
            <v>902</v>
          </cell>
          <cell r="C1750" t="str">
            <v>10</v>
          </cell>
          <cell r="D1750" t="str">
            <v>06</v>
          </cell>
          <cell r="E1750" t="str">
            <v>001 00 00</v>
          </cell>
          <cell r="F1750" t="str">
            <v>000</v>
          </cell>
        </row>
        <row r="1751">
          <cell r="A1751" t="str">
            <v>Центральный аппарат</v>
          </cell>
          <cell r="B1751" t="str">
            <v>902</v>
          </cell>
          <cell r="C1751" t="str">
            <v>10</v>
          </cell>
          <cell r="D1751" t="str">
            <v>06</v>
          </cell>
          <cell r="E1751" t="str">
            <v>001 00 00</v>
          </cell>
          <cell r="F1751" t="str">
            <v>005</v>
          </cell>
        </row>
        <row r="1752">
          <cell r="A1752" t="str">
            <v>Оплата труда и начисления на оплату труда</v>
          </cell>
          <cell r="B1752" t="str">
            <v>902</v>
          </cell>
          <cell r="C1752" t="str">
            <v>10</v>
          </cell>
          <cell r="D1752" t="str">
            <v>06</v>
          </cell>
          <cell r="E1752" t="str">
            <v>001 00 00</v>
          </cell>
          <cell r="F1752" t="str">
            <v>005</v>
          </cell>
        </row>
        <row r="1753">
          <cell r="A1753" t="str">
            <v>Заработная плата</v>
          </cell>
          <cell r="B1753" t="str">
            <v>902</v>
          </cell>
          <cell r="C1753" t="str">
            <v>10</v>
          </cell>
          <cell r="D1753" t="str">
            <v>06</v>
          </cell>
          <cell r="E1753" t="str">
            <v>001 00 00</v>
          </cell>
          <cell r="F1753" t="str">
            <v>005</v>
          </cell>
        </row>
        <row r="1754">
          <cell r="A1754" t="str">
            <v>Прочие выплаты</v>
          </cell>
          <cell r="B1754" t="str">
            <v>902</v>
          </cell>
          <cell r="C1754" t="str">
            <v>10</v>
          </cell>
          <cell r="D1754" t="str">
            <v>06</v>
          </cell>
          <cell r="E1754" t="str">
            <v>001 00 00</v>
          </cell>
          <cell r="F1754" t="str">
            <v>005</v>
          </cell>
        </row>
        <row r="1755">
          <cell r="A1755" t="str">
            <v>Начисление на оплату труда</v>
          </cell>
          <cell r="B1755" t="str">
            <v>902</v>
          </cell>
          <cell r="C1755" t="str">
            <v>10</v>
          </cell>
          <cell r="D1755" t="str">
            <v>06</v>
          </cell>
          <cell r="E1755" t="str">
            <v>001 00 00</v>
          </cell>
          <cell r="F1755" t="str">
            <v>005</v>
          </cell>
        </row>
        <row r="1756">
          <cell r="A1756" t="str">
            <v>Приобретение услуг</v>
          </cell>
          <cell r="B1756" t="str">
            <v>902</v>
          </cell>
          <cell r="C1756" t="str">
            <v>10</v>
          </cell>
          <cell r="D1756" t="str">
            <v>06</v>
          </cell>
          <cell r="E1756" t="str">
            <v>001 00 00</v>
          </cell>
          <cell r="F1756" t="str">
            <v>005</v>
          </cell>
        </row>
        <row r="1757">
          <cell r="A1757" t="str">
            <v>Услуги связи </v>
          </cell>
          <cell r="B1757" t="str">
            <v>902</v>
          </cell>
          <cell r="C1757" t="str">
            <v>10</v>
          </cell>
          <cell r="D1757" t="str">
            <v>06</v>
          </cell>
          <cell r="E1757" t="str">
            <v>001 00 00</v>
          </cell>
          <cell r="F1757" t="str">
            <v>005</v>
          </cell>
        </row>
        <row r="1758">
          <cell r="A1758" t="str">
            <v>Транспортные услуги</v>
          </cell>
          <cell r="B1758" t="str">
            <v>902</v>
          </cell>
          <cell r="C1758" t="str">
            <v>10</v>
          </cell>
          <cell r="D1758" t="str">
            <v>06</v>
          </cell>
          <cell r="E1758" t="str">
            <v>001 00 00</v>
          </cell>
          <cell r="F1758" t="str">
            <v>005</v>
          </cell>
        </row>
        <row r="1759">
          <cell r="A1759" t="str">
            <v>Коммунальные услуги</v>
          </cell>
          <cell r="B1759" t="str">
            <v>902</v>
          </cell>
          <cell r="C1759" t="str">
            <v>10</v>
          </cell>
          <cell r="D1759" t="str">
            <v>06</v>
          </cell>
          <cell r="E1759" t="str">
            <v>001 00 00</v>
          </cell>
          <cell r="F1759" t="str">
            <v>005</v>
          </cell>
        </row>
        <row r="1760">
          <cell r="A1760" t="str">
            <v>Арендная плата за пользование иммуществом </v>
          </cell>
          <cell r="B1760" t="str">
            <v>902</v>
          </cell>
          <cell r="C1760" t="str">
            <v>10</v>
          </cell>
          <cell r="D1760" t="str">
            <v>06</v>
          </cell>
          <cell r="E1760" t="str">
            <v>001 00 00</v>
          </cell>
          <cell r="F1760" t="str">
            <v>005</v>
          </cell>
        </row>
        <row r="1761">
          <cell r="A1761" t="str">
            <v>Услуги по содержанию иммущества</v>
          </cell>
          <cell r="B1761" t="str">
            <v>902</v>
          </cell>
          <cell r="C1761" t="str">
            <v>10</v>
          </cell>
          <cell r="D1761" t="str">
            <v>06</v>
          </cell>
          <cell r="E1761" t="str">
            <v>001 00 00</v>
          </cell>
          <cell r="F1761" t="str">
            <v>005</v>
          </cell>
        </row>
        <row r="1762">
          <cell r="A1762" t="str">
            <v>Прочие услуги</v>
          </cell>
          <cell r="B1762" t="str">
            <v>902</v>
          </cell>
          <cell r="C1762" t="str">
            <v>10</v>
          </cell>
          <cell r="D1762" t="str">
            <v>06</v>
          </cell>
          <cell r="E1762" t="str">
            <v>001 00 00</v>
          </cell>
          <cell r="F1762" t="str">
            <v>005</v>
          </cell>
        </row>
        <row r="1763">
          <cell r="A1763" t="str">
            <v>Прочие расходы </v>
          </cell>
          <cell r="B1763" t="str">
            <v>902</v>
          </cell>
          <cell r="C1763" t="str">
            <v>10</v>
          </cell>
          <cell r="D1763" t="str">
            <v>06</v>
          </cell>
          <cell r="E1763" t="str">
            <v>001 00 00 </v>
          </cell>
          <cell r="F1763" t="str">
            <v>005</v>
          </cell>
        </row>
        <row r="1764">
          <cell r="A1764" t="str">
            <v>Поступление нефинансовых активов</v>
          </cell>
          <cell r="B1764" t="str">
            <v>902</v>
          </cell>
          <cell r="C1764" t="str">
            <v>10</v>
          </cell>
          <cell r="D1764" t="str">
            <v>06</v>
          </cell>
          <cell r="E1764" t="str">
            <v>001 00 00</v>
          </cell>
          <cell r="F1764" t="str">
            <v>005</v>
          </cell>
        </row>
        <row r="1765">
          <cell r="A1765" t="str">
            <v>Увеличение стоимости основных средств</v>
          </cell>
          <cell r="B1765" t="str">
            <v>902</v>
          </cell>
          <cell r="C1765" t="str">
            <v>10</v>
          </cell>
          <cell r="D1765" t="str">
            <v>06</v>
          </cell>
          <cell r="E1765" t="str">
            <v>001 00 00</v>
          </cell>
          <cell r="F1765" t="str">
            <v>005</v>
          </cell>
        </row>
        <row r="1766">
          <cell r="A1766" t="str">
            <v>Увеличение стоимости материальных запасов</v>
          </cell>
          <cell r="B1766" t="str">
            <v>902</v>
          </cell>
          <cell r="C1766" t="str">
            <v>10</v>
          </cell>
          <cell r="D1766" t="str">
            <v>06</v>
          </cell>
          <cell r="E1766" t="str">
            <v>001 00 00</v>
          </cell>
          <cell r="F1766" t="str">
            <v>005</v>
          </cell>
        </row>
        <row r="1767">
          <cell r="A1767" t="str">
            <v>Региональные целевые программы</v>
          </cell>
          <cell r="B1767" t="str">
            <v>902</v>
          </cell>
          <cell r="C1767" t="str">
            <v>10</v>
          </cell>
          <cell r="D1767" t="str">
            <v>06</v>
          </cell>
          <cell r="E1767" t="str">
            <v>000 00 00</v>
          </cell>
          <cell r="F1767" t="str">
            <v>000 </v>
          </cell>
        </row>
        <row r="1768">
          <cell r="A1768" t="str">
            <v>Мероприятия в области социальной политики </v>
          </cell>
          <cell r="B1768" t="str">
            <v>902</v>
          </cell>
          <cell r="C1768" t="str">
            <v>10</v>
          </cell>
          <cell r="D1768" t="str">
            <v>06</v>
          </cell>
          <cell r="E1768" t="str">
            <v>522 00 00</v>
          </cell>
          <cell r="F1768" t="str">
            <v>482</v>
          </cell>
        </row>
        <row r="1769">
          <cell r="A1769" t="str">
            <v>Прочие расходы </v>
          </cell>
          <cell r="B1769" t="str">
            <v>902</v>
          </cell>
          <cell r="C1769" t="str">
            <v>10</v>
          </cell>
          <cell r="D1769" t="str">
            <v>06</v>
          </cell>
          <cell r="E1769" t="str">
            <v>522 00 00</v>
          </cell>
          <cell r="F1769" t="str">
            <v>482</v>
          </cell>
        </row>
        <row r="1770">
          <cell r="A1770" t="str">
            <v>Социальное обеспечение населения </v>
          </cell>
          <cell r="C1770" t="str">
            <v>10</v>
          </cell>
          <cell r="D1770" t="str">
            <v>03</v>
          </cell>
          <cell r="E1770" t="str">
            <v>000 00 00</v>
          </cell>
          <cell r="F1770" t="str">
            <v>000</v>
          </cell>
        </row>
        <row r="1771">
          <cell r="C1771" t="str">
            <v>10</v>
          </cell>
          <cell r="D1771" t="str">
            <v>03</v>
          </cell>
          <cell r="E1771" t="str">
            <v>000 00 00</v>
          </cell>
          <cell r="F1771" t="str">
            <v>000</v>
          </cell>
        </row>
        <row r="1772">
          <cell r="A1772" t="str">
            <v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v>
          </cell>
          <cell r="B1772" t="str">
            <v>902</v>
          </cell>
          <cell r="C1772" t="str">
            <v>10</v>
          </cell>
          <cell r="D1772" t="str">
            <v>03</v>
          </cell>
          <cell r="E1772" t="str">
            <v>002 00 00</v>
          </cell>
          <cell r="F1772" t="str">
            <v>000</v>
          </cell>
        </row>
        <row r="1773">
          <cell r="A1773" t="str">
            <v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v>
          </cell>
          <cell r="B1773" t="str">
            <v>902</v>
          </cell>
          <cell r="C1773" t="str">
            <v>10</v>
          </cell>
          <cell r="D1773" t="str">
            <v>03</v>
          </cell>
          <cell r="E1773" t="str">
            <v>002 47 01</v>
          </cell>
          <cell r="F1773" t="str">
            <v>000</v>
          </cell>
        </row>
        <row r="1774">
          <cell r="A1774" t="str">
            <v>Социальные выплаты</v>
          </cell>
          <cell r="B1774" t="str">
            <v>902</v>
          </cell>
          <cell r="C1774" t="str">
            <v>10</v>
          </cell>
          <cell r="D1774" t="str">
            <v>03</v>
          </cell>
          <cell r="E1774" t="str">
            <v>002 47 01</v>
          </cell>
          <cell r="F1774" t="str">
            <v>005</v>
          </cell>
        </row>
        <row r="1775">
          <cell r="A1775" t="str">
            <v>Приобретение услуг</v>
          </cell>
          <cell r="B1775" t="str">
            <v>902</v>
          </cell>
          <cell r="C1775" t="str">
            <v>10</v>
          </cell>
          <cell r="D1775" t="str">
            <v>03</v>
          </cell>
          <cell r="E1775" t="str">
            <v>002 47 01</v>
          </cell>
          <cell r="F1775" t="str">
            <v>500</v>
          </cell>
        </row>
        <row r="1776">
          <cell r="A1776" t="str">
            <v>Заработная плата</v>
          </cell>
          <cell r="B1776" t="str">
            <v>902</v>
          </cell>
          <cell r="C1776" t="str">
            <v>10</v>
          </cell>
          <cell r="D1776" t="str">
            <v>03</v>
          </cell>
          <cell r="E1776" t="str">
            <v>002 47 01</v>
          </cell>
          <cell r="F1776" t="str">
            <v>500</v>
          </cell>
        </row>
        <row r="1777">
          <cell r="A1777" t="str">
            <v>Прочие выплаты</v>
          </cell>
          <cell r="B1777" t="str">
            <v>902</v>
          </cell>
          <cell r="C1777" t="str">
            <v>10</v>
          </cell>
          <cell r="D1777" t="str">
            <v>03</v>
          </cell>
          <cell r="E1777" t="str">
            <v>002 47 01</v>
          </cell>
          <cell r="F1777" t="str">
            <v>500</v>
          </cell>
        </row>
        <row r="1778">
          <cell r="A1778" t="str">
            <v>Начисление на оплату труда</v>
          </cell>
          <cell r="B1778" t="str">
            <v>902</v>
          </cell>
          <cell r="C1778" t="str">
            <v>10</v>
          </cell>
          <cell r="D1778" t="str">
            <v>03</v>
          </cell>
          <cell r="E1778" t="str">
            <v>002 47 01</v>
          </cell>
          <cell r="F1778" t="str">
            <v>500</v>
          </cell>
        </row>
        <row r="1779">
          <cell r="A1779" t="str">
            <v>Приобретение услуг</v>
          </cell>
          <cell r="B1779" t="str">
            <v>902</v>
          </cell>
          <cell r="C1779" t="str">
            <v>10</v>
          </cell>
          <cell r="D1779" t="str">
            <v>03</v>
          </cell>
          <cell r="E1779" t="str">
            <v>002 47 01</v>
          </cell>
          <cell r="F1779" t="str">
            <v>500</v>
          </cell>
        </row>
        <row r="1780">
          <cell r="A1780" t="str">
            <v>Услуги связи </v>
          </cell>
          <cell r="B1780" t="str">
            <v>902</v>
          </cell>
          <cell r="C1780" t="str">
            <v>10</v>
          </cell>
          <cell r="D1780" t="str">
            <v>03</v>
          </cell>
          <cell r="E1780" t="str">
            <v>002 47 01</v>
          </cell>
          <cell r="F1780" t="str">
            <v>500</v>
          </cell>
        </row>
        <row r="1781">
          <cell r="A1781" t="str">
            <v>Прочие услуги</v>
          </cell>
          <cell r="B1781" t="str">
            <v>902</v>
          </cell>
          <cell r="C1781" t="str">
            <v>10</v>
          </cell>
          <cell r="D1781" t="str">
            <v>03</v>
          </cell>
          <cell r="E1781" t="str">
            <v>002 47 01</v>
          </cell>
          <cell r="F1781" t="str">
            <v>500</v>
          </cell>
        </row>
        <row r="1782">
          <cell r="A1782" t="str">
            <v>Поступление нефинансовых активов</v>
          </cell>
          <cell r="B1782" t="str">
            <v>902</v>
          </cell>
          <cell r="C1782" t="str">
            <v>10</v>
          </cell>
          <cell r="D1782" t="str">
            <v>03</v>
          </cell>
          <cell r="E1782" t="str">
            <v>002 47 01</v>
          </cell>
          <cell r="F1782" t="str">
            <v>500</v>
          </cell>
        </row>
        <row r="1783">
          <cell r="A1783" t="str">
            <v>Увеличение стоймости основных средств</v>
          </cell>
          <cell r="B1783" t="str">
            <v>902</v>
          </cell>
          <cell r="C1783" t="str">
            <v>10</v>
          </cell>
          <cell r="D1783" t="str">
            <v>03</v>
          </cell>
          <cell r="E1783" t="str">
            <v>002 47 01</v>
          </cell>
          <cell r="F1783" t="str">
            <v>500</v>
          </cell>
        </row>
        <row r="1784">
          <cell r="A1784" t="str">
            <v>Увеличение стоимости материальных запасов</v>
          </cell>
          <cell r="B1784" t="str">
            <v>902</v>
          </cell>
          <cell r="C1784" t="str">
            <v>10</v>
          </cell>
          <cell r="D1784" t="str">
            <v>03</v>
          </cell>
          <cell r="E1784" t="str">
            <v>002 47 01</v>
          </cell>
          <cell r="F1784" t="str">
            <v>500</v>
          </cell>
        </row>
        <row r="1785">
          <cell r="B1785" t="str">
            <v>902</v>
          </cell>
          <cell r="C1785" t="str">
            <v>10</v>
          </cell>
          <cell r="D1785" t="str">
            <v>03</v>
          </cell>
          <cell r="E1785" t="str">
            <v>002 47 00</v>
          </cell>
          <cell r="F1785" t="str">
            <v>000</v>
          </cell>
        </row>
        <row r="1786">
          <cell r="A1786" t="str">
            <v>Осуществление областных государственных полномочий по предоставлению гражданам субсидий на оплату жилых помещений и коммунальных услуг</v>
          </cell>
          <cell r="B1786" t="str">
            <v>902</v>
          </cell>
          <cell r="C1786" t="str">
            <v>10</v>
          </cell>
          <cell r="D1786" t="str">
            <v>03</v>
          </cell>
          <cell r="E1786" t="str">
            <v>002 47 02</v>
          </cell>
          <cell r="F1786" t="str">
            <v>000</v>
          </cell>
        </row>
        <row r="1787">
          <cell r="A1787" t="str">
            <v>Социальные выплаты</v>
          </cell>
          <cell r="B1787" t="str">
            <v>902</v>
          </cell>
          <cell r="C1787" t="str">
            <v>10</v>
          </cell>
          <cell r="D1787" t="str">
            <v>03</v>
          </cell>
          <cell r="E1787" t="str">
            <v>002 47 02</v>
          </cell>
          <cell r="F1787" t="str">
            <v>005</v>
          </cell>
        </row>
        <row r="1788">
          <cell r="A1788" t="str">
            <v>Расходы</v>
          </cell>
          <cell r="B1788" t="str">
            <v>902</v>
          </cell>
          <cell r="C1788" t="str">
            <v>10</v>
          </cell>
          <cell r="D1788" t="str">
            <v>03</v>
          </cell>
          <cell r="E1788" t="str">
            <v>002 47 02</v>
          </cell>
          <cell r="F1788" t="str">
            <v>005</v>
          </cell>
        </row>
        <row r="1789">
          <cell r="A1789" t="str">
            <v>Приобретение работ, услуг</v>
          </cell>
          <cell r="B1789" t="str">
            <v>902</v>
          </cell>
          <cell r="C1789" t="str">
            <v>10</v>
          </cell>
          <cell r="D1789" t="str">
            <v>03</v>
          </cell>
          <cell r="E1789" t="str">
            <v>002 47 02</v>
          </cell>
          <cell r="F1789" t="str">
            <v>005</v>
          </cell>
        </row>
        <row r="1790">
          <cell r="A1790" t="str">
            <v>Услуги связи</v>
          </cell>
          <cell r="B1790" t="str">
            <v>902</v>
          </cell>
          <cell r="C1790" t="str">
            <v>10</v>
          </cell>
          <cell r="D1790" t="str">
            <v>03</v>
          </cell>
          <cell r="E1790" t="str">
            <v>002 47 02</v>
          </cell>
          <cell r="F1790" t="str">
            <v>005</v>
          </cell>
        </row>
        <row r="1791">
          <cell r="A1791" t="str">
            <v>Прочие работы, услуги</v>
          </cell>
          <cell r="B1791" t="str">
            <v>902</v>
          </cell>
          <cell r="C1791" t="str">
            <v>10</v>
          </cell>
          <cell r="D1791" t="str">
            <v>03</v>
          </cell>
          <cell r="E1791" t="str">
            <v>002 47 02</v>
          </cell>
          <cell r="F1791" t="str">
            <v>005</v>
          </cell>
        </row>
        <row r="1792">
          <cell r="A1792" t="str">
            <v>Социальное обеспечение</v>
          </cell>
          <cell r="B1792" t="str">
            <v>902</v>
          </cell>
          <cell r="C1792" t="str">
            <v>10</v>
          </cell>
          <cell r="D1792" t="str">
            <v>03</v>
          </cell>
          <cell r="E1792" t="str">
            <v>002 47 02</v>
          </cell>
          <cell r="F1792" t="str">
            <v>005</v>
          </cell>
        </row>
        <row r="1793">
          <cell r="A1793" t="str">
            <v>Пособия по социальной помощи населению</v>
          </cell>
          <cell r="B1793" t="str">
            <v>902</v>
          </cell>
          <cell r="C1793" t="str">
            <v>10</v>
          </cell>
          <cell r="D1793" t="str">
            <v>03</v>
          </cell>
          <cell r="E1793" t="str">
            <v>002 47 02</v>
          </cell>
          <cell r="F1793" t="str">
            <v>005</v>
          </cell>
        </row>
        <row r="1794">
          <cell r="A1794" t="str">
            <v>Поступление нефинансовых активов</v>
          </cell>
          <cell r="B1794" t="str">
            <v>902</v>
          </cell>
          <cell r="C1794" t="str">
            <v>10</v>
          </cell>
          <cell r="D1794" t="str">
            <v>03</v>
          </cell>
          <cell r="E1794" t="str">
            <v>521 02 09</v>
          </cell>
          <cell r="F1794" t="str">
            <v>005</v>
          </cell>
        </row>
        <row r="1795">
          <cell r="A1795" t="str">
            <v>Увеличение стоимости материальных запасов</v>
          </cell>
          <cell r="B1795" t="str">
            <v>902</v>
          </cell>
          <cell r="C1795" t="str">
            <v>10</v>
          </cell>
          <cell r="D1795" t="str">
            <v>03</v>
          </cell>
          <cell r="E1795" t="str">
            <v>521 02 09</v>
          </cell>
          <cell r="F1795" t="str">
            <v>005</v>
          </cell>
        </row>
        <row r="1796">
          <cell r="A1796" t="str">
            <v>Субвенции на осуществление органами местного самоуправления областных государственных полномочий по предоставлению мер социальной поддержки многодетным и малоимущим семьям</v>
          </cell>
          <cell r="B1796" t="str">
            <v>903</v>
          </cell>
          <cell r="C1796" t="str">
            <v>10</v>
          </cell>
          <cell r="D1796" t="str">
            <v>03</v>
          </cell>
          <cell r="E1796" t="str">
            <v>002 46 00</v>
          </cell>
          <cell r="F1796" t="str">
            <v>000</v>
          </cell>
        </row>
        <row r="1797">
          <cell r="A1797" t="str">
            <v>Социальные выплаты</v>
          </cell>
          <cell r="B1797" t="str">
            <v>903</v>
          </cell>
          <cell r="C1797" t="str">
            <v>10</v>
          </cell>
          <cell r="D1797" t="str">
            <v>03</v>
          </cell>
          <cell r="E1797" t="str">
            <v>505 85 05</v>
          </cell>
          <cell r="F1797" t="str">
            <v>005</v>
          </cell>
        </row>
        <row r="1798">
          <cell r="A1798" t="str">
            <v>Расходы</v>
          </cell>
          <cell r="B1798" t="str">
            <v>903</v>
          </cell>
          <cell r="C1798" t="str">
            <v>10</v>
          </cell>
          <cell r="D1798" t="str">
            <v>03</v>
          </cell>
          <cell r="E1798" t="str">
            <v>505 85 05</v>
          </cell>
          <cell r="F1798" t="str">
            <v>005</v>
          </cell>
        </row>
        <row r="1799">
          <cell r="A1799" t="str">
            <v>Социальное обеспечение</v>
          </cell>
          <cell r="B1799" t="str">
            <v>903</v>
          </cell>
          <cell r="C1799" t="str">
            <v>10</v>
          </cell>
          <cell r="D1799" t="str">
            <v>03</v>
          </cell>
          <cell r="E1799" t="str">
            <v>505 85 05</v>
          </cell>
          <cell r="F1799" t="str">
            <v>005</v>
          </cell>
        </row>
        <row r="1800">
          <cell r="A1800" t="str">
            <v>Пособия по социальной помощи населению</v>
          </cell>
          <cell r="B1800" t="str">
            <v>903</v>
          </cell>
          <cell r="C1800" t="str">
            <v>10</v>
          </cell>
          <cell r="D1800" t="str">
            <v>03</v>
          </cell>
          <cell r="E1800" t="str">
            <v>505 85 05</v>
          </cell>
          <cell r="F1800" t="str">
            <v>005</v>
          </cell>
        </row>
        <row r="1801">
          <cell r="A1801" t="str">
            <v>Социальные выплаты</v>
          </cell>
          <cell r="B1801" t="str">
            <v>903</v>
          </cell>
          <cell r="C1801" t="str">
            <v>10</v>
          </cell>
          <cell r="D1801" t="str">
            <v>03</v>
          </cell>
          <cell r="E1801" t="str">
            <v>002 46 00</v>
          </cell>
          <cell r="F1801" t="str">
            <v>000</v>
          </cell>
        </row>
        <row r="1802">
          <cell r="A1802" t="str">
            <v>Расходы</v>
          </cell>
          <cell r="B1802" t="str">
            <v>903</v>
          </cell>
          <cell r="C1802" t="str">
            <v>10</v>
          </cell>
          <cell r="D1802" t="str">
            <v>03</v>
          </cell>
          <cell r="E1802" t="str">
            <v>002 46 00</v>
          </cell>
          <cell r="F1802" t="str">
            <v>005</v>
          </cell>
        </row>
        <row r="1803">
          <cell r="A1803" t="str">
            <v>Социальное обеспечение</v>
          </cell>
          <cell r="B1803" t="str">
            <v>903</v>
          </cell>
          <cell r="C1803" t="str">
            <v>10</v>
          </cell>
          <cell r="D1803" t="str">
            <v>03</v>
          </cell>
          <cell r="E1803" t="str">
            <v>002 46 00</v>
          </cell>
          <cell r="F1803" t="str">
            <v>000</v>
          </cell>
        </row>
        <row r="1804">
          <cell r="A1804" t="str">
            <v>Осуществление отдельных областных государственных полномочий по предоставлению мер социальной поддержки многодетным и малоимущим семьям</v>
          </cell>
          <cell r="B1804" t="str">
            <v>903</v>
          </cell>
          <cell r="C1804" t="str">
            <v>10</v>
          </cell>
          <cell r="D1804" t="str">
            <v>03</v>
          </cell>
          <cell r="E1804" t="str">
            <v>002 46 00</v>
          </cell>
          <cell r="F1804" t="str">
            <v>000</v>
          </cell>
        </row>
        <row r="1805">
          <cell r="A1805" t="str">
            <v>Пособия по социальной помощи населению</v>
          </cell>
          <cell r="C1805" t="str">
            <v>10</v>
          </cell>
          <cell r="D1805" t="str">
            <v>04</v>
          </cell>
          <cell r="E1805" t="str">
            <v>000 00 00</v>
          </cell>
          <cell r="F1805" t="str">
            <v>000</v>
          </cell>
        </row>
        <row r="1806">
          <cell r="A1806" t="str">
            <v>Пособия по социальной помощи населению</v>
          </cell>
          <cell r="C1806" t="str">
            <v>10</v>
          </cell>
          <cell r="D1806" t="str">
            <v>04</v>
          </cell>
          <cell r="E1806" t="str">
            <v>795 00 00</v>
          </cell>
          <cell r="F1806" t="str">
            <v>000</v>
          </cell>
        </row>
        <row r="1807">
          <cell r="A1807" t="str">
            <v>Пособия по социальной помощи населению</v>
          </cell>
          <cell r="C1807" t="str">
            <v>10</v>
          </cell>
          <cell r="D1807" t="str">
            <v>04</v>
          </cell>
          <cell r="E1807" t="str">
            <v>795 00 00</v>
          </cell>
          <cell r="F1807" t="str">
            <v>500</v>
          </cell>
        </row>
        <row r="1808">
          <cell r="A1808" t="str">
            <v>Пособия по социальной помощи населению</v>
          </cell>
          <cell r="B1808" t="str">
            <v>904</v>
          </cell>
          <cell r="C1808" t="str">
            <v>10</v>
          </cell>
          <cell r="D1808" t="str">
            <v>04</v>
          </cell>
          <cell r="E1808" t="str">
            <v>795 00 00</v>
          </cell>
          <cell r="F1808" t="str">
            <v>500</v>
          </cell>
        </row>
        <row r="1809">
          <cell r="A1809" t="str">
            <v>Пособия по социальной помощи населению</v>
          </cell>
          <cell r="B1809" t="str">
            <v>902</v>
          </cell>
          <cell r="C1809" t="str">
            <v>10</v>
          </cell>
          <cell r="D1809" t="str">
            <v>04</v>
          </cell>
          <cell r="E1809" t="str">
            <v>795 00 00</v>
          </cell>
          <cell r="F1809" t="str">
            <v>500</v>
          </cell>
        </row>
        <row r="1810">
          <cell r="A1810" t="str">
            <v>Пособия по социальной помощи населению</v>
          </cell>
          <cell r="B1810" t="str">
            <v>905</v>
          </cell>
          <cell r="C1810" t="str">
            <v>10</v>
          </cell>
          <cell r="D1810" t="str">
            <v>04</v>
          </cell>
          <cell r="E1810" t="str">
            <v>795 00 00</v>
          </cell>
          <cell r="F1810" t="str">
            <v>500</v>
          </cell>
        </row>
        <row r="1811">
          <cell r="A1811" t="str">
            <v>Пособия по социальной помощи населению</v>
          </cell>
          <cell r="B1811" t="str">
            <v>903</v>
          </cell>
          <cell r="C1811" t="str">
            <v>10</v>
          </cell>
          <cell r="D1811" t="str">
            <v>04</v>
          </cell>
          <cell r="E1811" t="str">
            <v>795 00 00</v>
          </cell>
          <cell r="F1811" t="str">
            <v>500</v>
          </cell>
        </row>
        <row r="1812">
          <cell r="A1812" t="str">
            <v>Пособия по социальной помощи населению</v>
          </cell>
          <cell r="B1812" t="str">
            <v>902</v>
          </cell>
          <cell r="C1812" t="str">
            <v>10</v>
          </cell>
          <cell r="D1812" t="str">
            <v>04</v>
          </cell>
          <cell r="E1812" t="str">
            <v>795 00 00</v>
          </cell>
          <cell r="F1812" t="str">
            <v>500</v>
          </cell>
        </row>
        <row r="1813">
          <cell r="A1813" t="str">
            <v>Социальные выплаты ОБ</v>
          </cell>
          <cell r="B1813" t="str">
            <v>903</v>
          </cell>
          <cell r="C1813" t="str">
            <v>10</v>
          </cell>
          <cell r="D1813" t="str">
            <v>03</v>
          </cell>
          <cell r="E1813" t="str">
            <v>002 46 00</v>
          </cell>
          <cell r="F1813" t="str">
            <v>005</v>
          </cell>
        </row>
        <row r="1814">
          <cell r="A1814" t="str">
            <v>Субсидии некоммерческим организациям ОБ</v>
          </cell>
          <cell r="B1814" t="str">
            <v>903</v>
          </cell>
          <cell r="C1814" t="str">
            <v>10</v>
          </cell>
          <cell r="D1814" t="str">
            <v>03</v>
          </cell>
          <cell r="E1814" t="str">
            <v>002 46 00</v>
          </cell>
          <cell r="F1814" t="str">
            <v>019</v>
          </cell>
        </row>
        <row r="1815">
          <cell r="A1815" t="str">
            <v>Пособия по социальной помощи населению МБ</v>
          </cell>
          <cell r="B1815" t="str">
            <v>903</v>
          </cell>
          <cell r="C1815" t="str">
            <v>10</v>
          </cell>
          <cell r="D1815" t="str">
            <v>03</v>
          </cell>
          <cell r="E1815" t="str">
            <v>002 46 01</v>
          </cell>
          <cell r="F1815" t="str">
            <v>500</v>
          </cell>
        </row>
        <row r="1816">
          <cell r="A1816" t="str">
            <v>Поступление нефинансовых активов</v>
          </cell>
          <cell r="B1816" t="str">
            <v>903</v>
          </cell>
          <cell r="C1816" t="str">
            <v>10</v>
          </cell>
          <cell r="D1816" t="str">
            <v>03</v>
          </cell>
          <cell r="E1816" t="str">
            <v>002 46 00</v>
          </cell>
          <cell r="F1816" t="str">
            <v>000</v>
          </cell>
        </row>
        <row r="1817">
          <cell r="A1817" t="str">
            <v>Увеличение стоймости основных средств</v>
          </cell>
          <cell r="B1817" t="str">
            <v>903</v>
          </cell>
          <cell r="C1817" t="str">
            <v>10</v>
          </cell>
          <cell r="D1817" t="str">
            <v>03</v>
          </cell>
          <cell r="E1817" t="str">
            <v>002 46 00</v>
          </cell>
          <cell r="F1817" t="str">
            <v>005</v>
          </cell>
        </row>
        <row r="1818">
          <cell r="A1818" t="str">
            <v>Увеличение стоимости материальных запасов</v>
          </cell>
          <cell r="B1818" t="str">
            <v>903</v>
          </cell>
          <cell r="C1818" t="str">
            <v>10</v>
          </cell>
          <cell r="D1818" t="str">
            <v>03</v>
          </cell>
          <cell r="E1818" t="str">
            <v>002 46 01</v>
          </cell>
          <cell r="F1818" t="str">
            <v>500</v>
          </cell>
        </row>
        <row r="1819">
          <cell r="A1819" t="str">
            <v>Субсидии некоммерческим организациям МБ</v>
          </cell>
          <cell r="B1819" t="str">
            <v>903</v>
          </cell>
          <cell r="C1819" t="str">
            <v>10</v>
          </cell>
          <cell r="D1819" t="str">
            <v>03</v>
          </cell>
          <cell r="E1819" t="str">
            <v>002 46 01</v>
          </cell>
          <cell r="F1819" t="str">
            <v>019</v>
          </cell>
        </row>
        <row r="1820">
          <cell r="A1820" t="str">
            <v>Целевые программы муниципальных образований </v>
          </cell>
          <cell r="B1820" t="str">
            <v>902</v>
          </cell>
          <cell r="C1820" t="str">
            <v>10</v>
          </cell>
          <cell r="D1820" t="str">
            <v>03</v>
          </cell>
          <cell r="E1820" t="str">
            <v>795 00 00</v>
          </cell>
          <cell r="F1820" t="str">
            <v>000</v>
          </cell>
        </row>
        <row r="1821">
          <cell r="A1821" t="str">
            <v>Молодым семьям-доступное жилье2007-2019 гг</v>
          </cell>
          <cell r="B1821" t="str">
            <v>902</v>
          </cell>
          <cell r="C1821" t="str">
            <v>10</v>
          </cell>
          <cell r="D1821" t="str">
            <v>03</v>
          </cell>
          <cell r="E1821" t="str">
            <v>795 30 00</v>
          </cell>
          <cell r="F1821" t="str">
            <v>000</v>
          </cell>
        </row>
        <row r="1822">
          <cell r="A1822" t="str">
            <v>Поступление нефинансовых активов</v>
          </cell>
          <cell r="B1822" t="str">
            <v>902</v>
          </cell>
          <cell r="C1822" t="str">
            <v>10</v>
          </cell>
          <cell r="D1822" t="str">
            <v>03</v>
          </cell>
          <cell r="E1822" t="str">
            <v>795 00 00</v>
          </cell>
          <cell r="F1822" t="str">
            <v>500</v>
          </cell>
        </row>
        <row r="1823">
          <cell r="A1823" t="str">
            <v>Выполнение функций органами местного самоуправления</v>
          </cell>
          <cell r="B1823" t="str">
            <v>902</v>
          </cell>
          <cell r="C1823" t="str">
            <v>10</v>
          </cell>
          <cell r="D1823" t="str">
            <v>03</v>
          </cell>
          <cell r="E1823" t="str">
            <v>795 30 00</v>
          </cell>
          <cell r="F1823" t="str">
            <v>500</v>
          </cell>
        </row>
        <row r="1824">
          <cell r="A1824" t="str">
            <v>Охрана семьи и детства</v>
          </cell>
          <cell r="B1824" t="str">
            <v>902</v>
          </cell>
          <cell r="C1824" t="str">
            <v>10</v>
          </cell>
          <cell r="D1824" t="str">
            <v>04</v>
          </cell>
          <cell r="E1824" t="str">
            <v>000 00 00</v>
          </cell>
          <cell r="F1824" t="str">
            <v>000</v>
          </cell>
        </row>
        <row r="1825">
          <cell r="A1825" t="str">
            <v>Руководство и управление в сфере установленных функций органов государственной власти субъектов РФ и органов местного самоуправления</v>
          </cell>
          <cell r="B1825" t="str">
            <v>902</v>
          </cell>
          <cell r="C1825" t="str">
            <v>10</v>
          </cell>
          <cell r="D1825" t="str">
            <v>04</v>
          </cell>
          <cell r="E1825" t="str">
            <v>002 00 00</v>
          </cell>
          <cell r="F1825" t="str">
            <v>000</v>
          </cell>
        </row>
        <row r="1826">
          <cell r="A1826" t="str">
            <v>Осуществление областных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социального найма в Иркутской </v>
          </cell>
          <cell r="B1826" t="str">
            <v>902</v>
          </cell>
          <cell r="C1826" t="str">
            <v>10</v>
          </cell>
          <cell r="D1826" t="str">
            <v>04</v>
          </cell>
          <cell r="E1826" t="str">
            <v>002 48 00</v>
          </cell>
          <cell r="F1826" t="str">
            <v>000</v>
          </cell>
        </row>
        <row r="1827">
          <cell r="A1827" t="str">
            <v>Содержание и обеспечение деятельности муниципальных служащих, осуществляющих областные государственные полномочия по обеспечению детей-сирот и детей, оставшихся без попечения родителей, лиц из числа детей-сирот и детей, оставшихся без попечения родителей,</v>
          </cell>
          <cell r="B1827" t="str">
            <v>902</v>
          </cell>
          <cell r="C1827" t="str">
            <v>10</v>
          </cell>
          <cell r="D1827" t="str">
            <v>04</v>
          </cell>
          <cell r="E1827" t="str">
            <v>002 48 01</v>
          </cell>
          <cell r="F1827" t="str">
            <v>000</v>
          </cell>
        </row>
        <row r="1828">
          <cell r="A1828" t="str">
            <v>Фонд компенсаций</v>
          </cell>
          <cell r="B1828" t="str">
            <v>902</v>
          </cell>
          <cell r="C1828" t="str">
            <v>10</v>
          </cell>
          <cell r="D1828" t="str">
            <v>04</v>
          </cell>
          <cell r="E1828" t="str">
            <v>002 48 01</v>
          </cell>
          <cell r="F1828" t="str">
            <v>009</v>
          </cell>
        </row>
        <row r="1829">
          <cell r="A1829" t="str">
            <v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социального найма в Иркутской области</v>
          </cell>
          <cell r="B1829" t="str">
            <v>902</v>
          </cell>
          <cell r="C1829" t="str">
            <v>10</v>
          </cell>
          <cell r="D1829" t="str">
            <v>04</v>
          </cell>
          <cell r="E1829" t="str">
            <v>002 48 02</v>
          </cell>
          <cell r="F1829" t="str">
            <v>000</v>
          </cell>
        </row>
        <row r="1830">
          <cell r="B1830" t="str">
            <v>902</v>
          </cell>
          <cell r="C1830" t="str">
            <v>10</v>
          </cell>
          <cell r="D1830" t="str">
            <v>04</v>
          </cell>
        </row>
        <row r="1831">
          <cell r="A1831" t="str">
            <v>Фонд компенсаций</v>
          </cell>
          <cell r="B1831" t="str">
            <v>902</v>
          </cell>
          <cell r="C1831" t="str">
            <v>10</v>
          </cell>
          <cell r="D1831" t="str">
            <v>04</v>
          </cell>
          <cell r="E1831" t="str">
            <v>002 48 02</v>
          </cell>
          <cell r="F1831" t="str">
            <v>009</v>
          </cell>
        </row>
        <row r="1832">
          <cell r="A1832" t="str">
            <v>Другие вопросы в области социальной политики</v>
          </cell>
          <cell r="B1832" t="str">
            <v>902</v>
          </cell>
          <cell r="C1832" t="str">
            <v>10</v>
          </cell>
          <cell r="D1832" t="str">
            <v>06</v>
          </cell>
          <cell r="E1832" t="str">
            <v>000 00 00</v>
          </cell>
          <cell r="F1832" t="str">
            <v>000 </v>
          </cell>
        </row>
        <row r="1833">
          <cell r="A1833" t="str">
            <v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v>
          </cell>
          <cell r="B1833" t="str">
            <v>902</v>
          </cell>
          <cell r="C1833" t="str">
            <v>10</v>
          </cell>
          <cell r="D1833" t="str">
            <v>06</v>
          </cell>
          <cell r="E1833" t="str">
            <v>002 00 00</v>
          </cell>
          <cell r="F1833" t="str">
            <v>000</v>
          </cell>
        </row>
        <row r="1834">
          <cell r="A1834" t="str">
            <v>Центральный аппарат</v>
          </cell>
          <cell r="B1834" t="str">
            <v>902</v>
          </cell>
          <cell r="C1834" t="str">
            <v>10</v>
          </cell>
          <cell r="D1834" t="str">
            <v>06</v>
          </cell>
          <cell r="E1834" t="str">
            <v>002 00 00</v>
          </cell>
          <cell r="F1834" t="str">
            <v>000</v>
          </cell>
        </row>
        <row r="1835">
          <cell r="A1835" t="str">
            <v>Выполнение функций органами местного самоуправления</v>
          </cell>
          <cell r="B1835" t="str">
            <v>902</v>
          </cell>
          <cell r="C1835" t="str">
            <v>10</v>
          </cell>
          <cell r="D1835" t="str">
            <v>06</v>
          </cell>
          <cell r="E1835" t="str">
            <v>002 00 00</v>
          </cell>
          <cell r="F1835" t="str">
            <v>500</v>
          </cell>
        </row>
        <row r="1836">
          <cell r="A1836" t="str">
            <v>Расходы</v>
          </cell>
          <cell r="B1836" t="str">
            <v>902</v>
          </cell>
          <cell r="C1836" t="str">
            <v>10</v>
          </cell>
          <cell r="D1836" t="str">
            <v>06</v>
          </cell>
          <cell r="E1836" t="str">
            <v>002 00 00</v>
          </cell>
          <cell r="F1836" t="str">
            <v>500</v>
          </cell>
        </row>
        <row r="1837">
          <cell r="A1837" t="str">
            <v>Оплата труда и начисления на выплаты по оплате труда</v>
          </cell>
          <cell r="B1837" t="str">
            <v>902</v>
          </cell>
          <cell r="C1837" t="str">
            <v>10</v>
          </cell>
          <cell r="D1837" t="str">
            <v>06</v>
          </cell>
          <cell r="E1837" t="str">
            <v>002 00 00</v>
          </cell>
          <cell r="F1837" t="str">
            <v>500</v>
          </cell>
        </row>
        <row r="1838">
          <cell r="A1838" t="str">
            <v>Заработная плата</v>
          </cell>
          <cell r="B1838" t="str">
            <v>902</v>
          </cell>
          <cell r="C1838" t="str">
            <v>10</v>
          </cell>
          <cell r="D1838" t="str">
            <v>06</v>
          </cell>
          <cell r="E1838" t="str">
            <v>002 00 00</v>
          </cell>
          <cell r="F1838" t="str">
            <v>500</v>
          </cell>
        </row>
        <row r="1839">
          <cell r="A1839" t="str">
            <v>Прочие выплаты</v>
          </cell>
          <cell r="B1839" t="str">
            <v>902</v>
          </cell>
          <cell r="C1839" t="str">
            <v>10</v>
          </cell>
          <cell r="D1839" t="str">
            <v>06</v>
          </cell>
          <cell r="E1839" t="str">
            <v>002 00 00</v>
          </cell>
          <cell r="F1839" t="str">
            <v>500</v>
          </cell>
        </row>
        <row r="1840">
          <cell r="A1840" t="str">
            <v>Начисления на выплаты по оплате труда</v>
          </cell>
          <cell r="B1840" t="str">
            <v>902</v>
          </cell>
          <cell r="C1840" t="str">
            <v>10</v>
          </cell>
          <cell r="D1840" t="str">
            <v>06</v>
          </cell>
          <cell r="E1840" t="str">
            <v>002 00 00</v>
          </cell>
          <cell r="F1840" t="str">
            <v>500</v>
          </cell>
        </row>
        <row r="1841">
          <cell r="A1841" t="str">
            <v>Приобретение работ, услуг</v>
          </cell>
          <cell r="B1841" t="str">
            <v>902</v>
          </cell>
          <cell r="C1841" t="str">
            <v>10</v>
          </cell>
          <cell r="D1841" t="str">
            <v>06</v>
          </cell>
          <cell r="E1841" t="str">
            <v>002 00 00</v>
          </cell>
          <cell r="F1841" t="str">
            <v>500</v>
          </cell>
        </row>
        <row r="1842">
          <cell r="A1842" t="str">
            <v>Услуги связи</v>
          </cell>
          <cell r="B1842" t="str">
            <v>902</v>
          </cell>
          <cell r="C1842" t="str">
            <v>10</v>
          </cell>
          <cell r="D1842" t="str">
            <v>06</v>
          </cell>
          <cell r="E1842" t="str">
            <v>002 00 00</v>
          </cell>
          <cell r="F1842" t="str">
            <v>500</v>
          </cell>
        </row>
        <row r="1843">
          <cell r="A1843" t="str">
            <v>Транспортные услуги </v>
          </cell>
          <cell r="B1843" t="str">
            <v>902</v>
          </cell>
          <cell r="C1843" t="str">
            <v>10</v>
          </cell>
          <cell r="D1843" t="str">
            <v>06</v>
          </cell>
          <cell r="E1843" t="str">
            <v>002 00 00</v>
          </cell>
          <cell r="F1843" t="str">
            <v>500</v>
          </cell>
        </row>
        <row r="1844">
          <cell r="A1844" t="str">
            <v>Коммунальные услуги</v>
          </cell>
          <cell r="B1844" t="str">
            <v>902</v>
          </cell>
          <cell r="C1844" t="str">
            <v>10</v>
          </cell>
          <cell r="D1844" t="str">
            <v>06</v>
          </cell>
          <cell r="E1844" t="str">
            <v>002 04 00</v>
          </cell>
          <cell r="F1844" t="str">
            <v>500</v>
          </cell>
        </row>
        <row r="1845">
          <cell r="A1845" t="str">
            <v>Арендная плата за пользование имуществом</v>
          </cell>
          <cell r="B1845" t="str">
            <v>902</v>
          </cell>
          <cell r="C1845" t="str">
            <v>10</v>
          </cell>
          <cell r="D1845" t="str">
            <v>06</v>
          </cell>
          <cell r="E1845" t="str">
            <v>002 00 00</v>
          </cell>
          <cell r="F1845" t="str">
            <v>500</v>
          </cell>
        </row>
        <row r="1846">
          <cell r="A1846" t="str">
            <v>Работы, услуги по содержанию имущества</v>
          </cell>
          <cell r="B1846" t="str">
            <v>902</v>
          </cell>
          <cell r="C1846" t="str">
            <v>10</v>
          </cell>
          <cell r="D1846" t="str">
            <v>06</v>
          </cell>
          <cell r="E1846" t="str">
            <v>002 00 00</v>
          </cell>
          <cell r="F1846" t="str">
            <v>500</v>
          </cell>
        </row>
        <row r="1847">
          <cell r="A1847" t="str">
            <v>Прочие работы, услуги</v>
          </cell>
          <cell r="B1847" t="str">
            <v>902</v>
          </cell>
          <cell r="C1847" t="str">
            <v>10</v>
          </cell>
          <cell r="D1847" t="str">
            <v>06</v>
          </cell>
          <cell r="E1847" t="str">
            <v>002 00 00</v>
          </cell>
          <cell r="F1847" t="str">
            <v>500</v>
          </cell>
        </row>
        <row r="1848">
          <cell r="A1848" t="str">
            <v>Социальное обеспечение</v>
          </cell>
          <cell r="B1848" t="str">
            <v>902</v>
          </cell>
          <cell r="C1848" t="str">
            <v>10</v>
          </cell>
          <cell r="D1848" t="str">
            <v>06</v>
          </cell>
          <cell r="E1848" t="str">
            <v>002 00 00</v>
          </cell>
          <cell r="F1848" t="str">
            <v>500</v>
          </cell>
        </row>
        <row r="1849">
          <cell r="A1849" t="str">
            <v>Пособия по социальной помощи населению</v>
          </cell>
          <cell r="B1849" t="str">
            <v>902</v>
          </cell>
          <cell r="C1849" t="str">
            <v>10</v>
          </cell>
          <cell r="D1849" t="str">
            <v>06</v>
          </cell>
          <cell r="E1849" t="str">
            <v>002 00 00</v>
          </cell>
          <cell r="F1849" t="str">
            <v>500</v>
          </cell>
        </row>
        <row r="1850">
          <cell r="A1850" t="str">
            <v>Прочие расходы</v>
          </cell>
          <cell r="B1850" t="str">
            <v>902</v>
          </cell>
          <cell r="C1850" t="str">
            <v>10</v>
          </cell>
          <cell r="D1850" t="str">
            <v>06</v>
          </cell>
          <cell r="E1850" t="str">
            <v>002 00 00</v>
          </cell>
          <cell r="F1850" t="str">
            <v>500</v>
          </cell>
        </row>
        <row r="1851">
          <cell r="A1851" t="str">
            <v>Поступление нефинансовых активов</v>
          </cell>
          <cell r="B1851" t="str">
            <v>902</v>
          </cell>
          <cell r="C1851" t="str">
            <v>10</v>
          </cell>
          <cell r="D1851" t="str">
            <v>06</v>
          </cell>
          <cell r="E1851" t="str">
            <v>002 00 00</v>
          </cell>
          <cell r="F1851" t="str">
            <v>500</v>
          </cell>
        </row>
        <row r="1852">
          <cell r="A1852" t="str">
            <v>Увеличение стоимости основных средств</v>
          </cell>
          <cell r="B1852" t="str">
            <v>902</v>
          </cell>
          <cell r="C1852" t="str">
            <v>10</v>
          </cell>
          <cell r="D1852" t="str">
            <v>06</v>
          </cell>
          <cell r="E1852" t="str">
            <v>002 00 00</v>
          </cell>
          <cell r="F1852" t="str">
            <v>500</v>
          </cell>
        </row>
        <row r="1853">
          <cell r="A1853" t="str">
            <v>Увеличение стоимости нематериальных активов</v>
          </cell>
          <cell r="B1853" t="str">
            <v>902</v>
          </cell>
          <cell r="C1853" t="str">
            <v>10</v>
          </cell>
          <cell r="D1853" t="str">
            <v>06</v>
          </cell>
          <cell r="E1853" t="str">
            <v>002 00 00</v>
          </cell>
          <cell r="F1853" t="str">
            <v>500</v>
          </cell>
        </row>
        <row r="1854">
          <cell r="A1854" t="str">
            <v>Увеличение стоимости материальных запасов</v>
          </cell>
          <cell r="B1854" t="str">
            <v>902</v>
          </cell>
          <cell r="C1854" t="str">
            <v>10</v>
          </cell>
          <cell r="D1854" t="str">
            <v>06</v>
          </cell>
          <cell r="E1854" t="str">
            <v>002 00 00</v>
          </cell>
          <cell r="F1854" t="str">
            <v>500</v>
          </cell>
        </row>
        <row r="1855">
          <cell r="A1855" t="str">
            <v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v>
          </cell>
          <cell r="B1855" t="str">
            <v>902</v>
          </cell>
          <cell r="C1855" t="str">
            <v>10</v>
          </cell>
          <cell r="D1855" t="str">
            <v>06</v>
          </cell>
          <cell r="E1855" t="str">
            <v>002 41 00</v>
          </cell>
          <cell r="F1855" t="str">
            <v>000</v>
          </cell>
        </row>
        <row r="1856">
          <cell r="A1856" t="str">
            <v>Центральный аппарат</v>
          </cell>
          <cell r="B1856" t="str">
            <v>902</v>
          </cell>
          <cell r="C1856" t="str">
            <v>10</v>
          </cell>
          <cell r="D1856" t="str">
            <v>06</v>
          </cell>
          <cell r="E1856" t="str">
            <v>002 41 00</v>
          </cell>
          <cell r="F1856" t="str">
            <v>000</v>
          </cell>
        </row>
        <row r="1857">
          <cell r="A1857" t="str">
            <v>Выполнение функций органами местного самоуправления</v>
          </cell>
          <cell r="B1857" t="str">
            <v>902</v>
          </cell>
          <cell r="C1857" t="str">
            <v>10</v>
          </cell>
          <cell r="D1857" t="str">
            <v>06</v>
          </cell>
          <cell r="E1857" t="str">
            <v>002 41 00</v>
          </cell>
          <cell r="F1857" t="str">
            <v>500</v>
          </cell>
        </row>
        <row r="1858">
          <cell r="A1858" t="str">
            <v>Расходы</v>
          </cell>
          <cell r="B1858" t="str">
            <v>902</v>
          </cell>
          <cell r="C1858" t="str">
            <v>10</v>
          </cell>
          <cell r="D1858" t="str">
            <v>06</v>
          </cell>
          <cell r="E1858" t="str">
            <v>002 41 00</v>
          </cell>
          <cell r="F1858" t="str">
            <v>500</v>
          </cell>
        </row>
        <row r="1859">
          <cell r="A1859" t="str">
            <v>Оплата труда и начисления на выплаты по оплате труда</v>
          </cell>
          <cell r="B1859" t="str">
            <v>902</v>
          </cell>
          <cell r="C1859" t="str">
            <v>10</v>
          </cell>
          <cell r="D1859" t="str">
            <v>06</v>
          </cell>
          <cell r="E1859" t="str">
            <v>002 41 00</v>
          </cell>
          <cell r="F1859" t="str">
            <v>500</v>
          </cell>
        </row>
        <row r="1860">
          <cell r="A1860" t="str">
            <v>Заработная плата</v>
          </cell>
          <cell r="B1860" t="str">
            <v>902</v>
          </cell>
          <cell r="C1860" t="str">
            <v>10</v>
          </cell>
          <cell r="D1860" t="str">
            <v>06</v>
          </cell>
          <cell r="E1860" t="str">
            <v>002 41 00</v>
          </cell>
          <cell r="F1860" t="str">
            <v>500</v>
          </cell>
        </row>
        <row r="1861">
          <cell r="A1861" t="str">
            <v>Прочие выплаты</v>
          </cell>
          <cell r="B1861" t="str">
            <v>902</v>
          </cell>
          <cell r="C1861" t="str">
            <v>10</v>
          </cell>
          <cell r="D1861" t="str">
            <v>06</v>
          </cell>
          <cell r="E1861" t="str">
            <v>002 41 00</v>
          </cell>
          <cell r="F1861" t="str">
            <v>500</v>
          </cell>
        </row>
        <row r="1862">
          <cell r="A1862" t="str">
            <v>Начисления на выплаты по оплате труда</v>
          </cell>
          <cell r="B1862" t="str">
            <v>902</v>
          </cell>
          <cell r="C1862" t="str">
            <v>10</v>
          </cell>
          <cell r="D1862" t="str">
            <v>06</v>
          </cell>
          <cell r="E1862" t="str">
            <v>002 41 00</v>
          </cell>
          <cell r="F1862" t="str">
            <v>500</v>
          </cell>
        </row>
        <row r="1863">
          <cell r="A1863" t="str">
            <v>Приобретение работ, услуг</v>
          </cell>
          <cell r="B1863" t="str">
            <v>902</v>
          </cell>
          <cell r="C1863" t="str">
            <v>10</v>
          </cell>
          <cell r="D1863" t="str">
            <v>06</v>
          </cell>
          <cell r="E1863" t="str">
            <v>002 41 00</v>
          </cell>
          <cell r="F1863" t="str">
            <v>500</v>
          </cell>
        </row>
        <row r="1864">
          <cell r="A1864" t="str">
            <v>Услуги связи</v>
          </cell>
          <cell r="B1864" t="str">
            <v>902</v>
          </cell>
          <cell r="C1864" t="str">
            <v>10</v>
          </cell>
          <cell r="D1864" t="str">
            <v>06</v>
          </cell>
          <cell r="E1864" t="str">
            <v>002 41 00</v>
          </cell>
          <cell r="F1864" t="str">
            <v>500</v>
          </cell>
        </row>
        <row r="1865">
          <cell r="A1865" t="str">
            <v>Транспортные услуги </v>
          </cell>
          <cell r="B1865" t="str">
            <v>902</v>
          </cell>
          <cell r="C1865" t="str">
            <v>10</v>
          </cell>
          <cell r="D1865" t="str">
            <v>06</v>
          </cell>
          <cell r="E1865" t="str">
            <v>002 41 00</v>
          </cell>
          <cell r="F1865" t="str">
            <v>500</v>
          </cell>
        </row>
        <row r="1866">
          <cell r="A1866" t="str">
            <v>Коммунальные услуги</v>
          </cell>
          <cell r="B1866" t="str">
            <v>902</v>
          </cell>
          <cell r="C1866" t="str">
            <v>10</v>
          </cell>
          <cell r="D1866" t="str">
            <v>06</v>
          </cell>
          <cell r="E1866" t="str">
            <v>002 41 00</v>
          </cell>
          <cell r="F1866" t="str">
            <v>500</v>
          </cell>
        </row>
        <row r="1867">
          <cell r="A1867" t="str">
            <v>Арендная плата за пользование имуществом</v>
          </cell>
          <cell r="B1867" t="str">
            <v>902</v>
          </cell>
          <cell r="C1867" t="str">
            <v>10</v>
          </cell>
          <cell r="D1867" t="str">
            <v>06</v>
          </cell>
          <cell r="E1867" t="str">
            <v>002 41 00</v>
          </cell>
          <cell r="F1867" t="str">
            <v>500</v>
          </cell>
        </row>
        <row r="1868">
          <cell r="A1868" t="str">
            <v>Работы, услуги по содержанию имущества</v>
          </cell>
          <cell r="B1868" t="str">
            <v>902</v>
          </cell>
          <cell r="C1868" t="str">
            <v>10</v>
          </cell>
          <cell r="D1868" t="str">
            <v>06</v>
          </cell>
          <cell r="E1868" t="str">
            <v>002 41 00</v>
          </cell>
          <cell r="F1868" t="str">
            <v>500</v>
          </cell>
        </row>
        <row r="1869">
          <cell r="A1869" t="str">
            <v>Прочие работы, услуги</v>
          </cell>
          <cell r="B1869" t="str">
            <v>902</v>
          </cell>
          <cell r="C1869" t="str">
            <v>10</v>
          </cell>
          <cell r="D1869" t="str">
            <v>06</v>
          </cell>
          <cell r="E1869" t="str">
            <v>002 41 00</v>
          </cell>
          <cell r="F1869" t="str">
            <v>500</v>
          </cell>
        </row>
        <row r="1870">
          <cell r="A1870" t="str">
            <v>Социальное обеспечение</v>
          </cell>
          <cell r="B1870" t="str">
            <v>902</v>
          </cell>
          <cell r="C1870" t="str">
            <v>10</v>
          </cell>
          <cell r="D1870" t="str">
            <v>06</v>
          </cell>
          <cell r="E1870" t="str">
            <v>002 41 00</v>
          </cell>
          <cell r="F1870" t="str">
            <v>500</v>
          </cell>
        </row>
        <row r="1871">
          <cell r="A1871" t="str">
            <v>Пособия по социальной помощи населению</v>
          </cell>
          <cell r="B1871" t="str">
            <v>902</v>
          </cell>
          <cell r="C1871" t="str">
            <v>10</v>
          </cell>
          <cell r="D1871" t="str">
            <v>06</v>
          </cell>
          <cell r="E1871" t="str">
            <v>002 41 00</v>
          </cell>
          <cell r="F1871" t="str">
            <v>500</v>
          </cell>
        </row>
        <row r="1872">
          <cell r="A1872" t="str">
            <v>Прочие расходы</v>
          </cell>
          <cell r="B1872" t="str">
            <v>902</v>
          </cell>
          <cell r="C1872" t="str">
            <v>10</v>
          </cell>
          <cell r="D1872" t="str">
            <v>06</v>
          </cell>
          <cell r="E1872" t="str">
            <v>002 41 00</v>
          </cell>
          <cell r="F1872" t="str">
            <v>500</v>
          </cell>
        </row>
        <row r="1873">
          <cell r="A1873" t="str">
            <v>Поступление нефинансовых активов</v>
          </cell>
          <cell r="B1873" t="str">
            <v>902</v>
          </cell>
          <cell r="C1873" t="str">
            <v>10</v>
          </cell>
          <cell r="D1873" t="str">
            <v>06</v>
          </cell>
          <cell r="E1873" t="str">
            <v>002 41 00</v>
          </cell>
          <cell r="F1873" t="str">
            <v>500</v>
          </cell>
        </row>
        <row r="1874">
          <cell r="A1874" t="str">
            <v>Увеличение стоимости основных средств</v>
          </cell>
          <cell r="B1874" t="str">
            <v>902</v>
          </cell>
          <cell r="C1874" t="str">
            <v>10</v>
          </cell>
          <cell r="D1874" t="str">
            <v>06</v>
          </cell>
          <cell r="E1874" t="str">
            <v>002 41 00</v>
          </cell>
          <cell r="F1874" t="str">
            <v>500</v>
          </cell>
        </row>
        <row r="1875">
          <cell r="A1875" t="str">
            <v>Увеличение стоимости нематериальных активов</v>
          </cell>
          <cell r="B1875" t="str">
            <v>902</v>
          </cell>
          <cell r="C1875" t="str">
            <v>10</v>
          </cell>
          <cell r="D1875" t="str">
            <v>06</v>
          </cell>
          <cell r="E1875" t="str">
            <v>002 41 00</v>
          </cell>
          <cell r="F1875" t="str">
            <v>500</v>
          </cell>
        </row>
        <row r="1876">
          <cell r="A1876" t="str">
            <v>Увеличение стоимости материальных запасов</v>
          </cell>
          <cell r="B1876" t="str">
            <v>902</v>
          </cell>
          <cell r="C1876" t="str">
            <v>10</v>
          </cell>
          <cell r="D1876" t="str">
            <v>06</v>
          </cell>
          <cell r="E1876" t="str">
            <v>002 41 00</v>
          </cell>
          <cell r="F1876" t="str">
            <v>500</v>
          </cell>
        </row>
        <row r="1877">
          <cell r="A1877" t="str">
            <v>Целевые программы муниципальных образований </v>
          </cell>
          <cell r="C1877" t="str">
            <v>10</v>
          </cell>
          <cell r="D1877" t="str">
            <v>06</v>
          </cell>
          <cell r="E1877" t="str">
            <v>795 00 00</v>
          </cell>
          <cell r="F1877" t="str">
            <v>000</v>
          </cell>
        </row>
        <row r="1878">
          <cell r="A1878" t="str">
            <v>Выполнение функций органами местного самоуправления</v>
          </cell>
          <cell r="C1878" t="str">
            <v>10</v>
          </cell>
          <cell r="D1878" t="str">
            <v>06</v>
          </cell>
          <cell r="E1878" t="str">
            <v>795 00 00</v>
          </cell>
          <cell r="F1878" t="str">
            <v>500</v>
          </cell>
        </row>
        <row r="1879">
          <cell r="A1879" t="str">
            <v>«Комплексные меры противодействия злоупотребления наркотическими средствами и психотропными веществами» на 2011-2013 г."</v>
          </cell>
          <cell r="B1879" t="str">
            <v>903</v>
          </cell>
          <cell r="C1879" t="str">
            <v>10</v>
          </cell>
          <cell r="D1879" t="str">
            <v>06</v>
          </cell>
          <cell r="E1879" t="str">
            <v>795 02 00</v>
          </cell>
          <cell r="F1879" t="str">
            <v>500</v>
          </cell>
        </row>
        <row r="1880">
          <cell r="B1880" t="str">
            <v>904</v>
          </cell>
          <cell r="C1880" t="str">
            <v>10</v>
          </cell>
          <cell r="D1880" t="str">
            <v>06</v>
          </cell>
          <cell r="E1880" t="str">
            <v>795 02 00</v>
          </cell>
          <cell r="F1880" t="str">
            <v>500</v>
          </cell>
        </row>
        <row r="1881">
          <cell r="B1881" t="str">
            <v>905</v>
          </cell>
          <cell r="C1881" t="str">
            <v>10</v>
          </cell>
          <cell r="D1881" t="str">
            <v>06</v>
          </cell>
          <cell r="E1881" t="str">
            <v>795 02 00</v>
          </cell>
          <cell r="F1881" t="str">
            <v>500</v>
          </cell>
        </row>
        <row r="1882">
          <cell r="A1882" t="str">
            <v>Празднование 67 -й годовщины  Победы и Великой отечественной войне на 2012 г"</v>
          </cell>
          <cell r="B1882" t="str">
            <v>902</v>
          </cell>
          <cell r="C1882" t="str">
            <v>10</v>
          </cell>
          <cell r="D1882" t="str">
            <v>06</v>
          </cell>
          <cell r="E1882" t="str">
            <v>795 20 00</v>
          </cell>
          <cell r="F1882" t="str">
            <v>500</v>
          </cell>
        </row>
        <row r="1883">
          <cell r="B1883" t="str">
            <v>905</v>
          </cell>
          <cell r="C1883" t="str">
            <v>10</v>
          </cell>
          <cell r="D1883" t="str">
            <v>06</v>
          </cell>
          <cell r="E1883" t="str">
            <v>795 20 00</v>
          </cell>
          <cell r="F1883" t="str">
            <v>500</v>
          </cell>
        </row>
        <row r="1884">
          <cell r="A1884" t="str">
            <v>Профилактика безнадзорности и  несовершеннолетних в Усольском районе  на 2011 -2013гг</v>
          </cell>
          <cell r="B1884" t="str">
            <v>903</v>
          </cell>
          <cell r="C1884" t="str">
            <v>10</v>
          </cell>
          <cell r="D1884" t="str">
            <v>06</v>
          </cell>
          <cell r="E1884" t="str">
            <v>795 22 00</v>
          </cell>
          <cell r="F1884" t="str">
            <v>500</v>
          </cell>
        </row>
        <row r="1885">
          <cell r="B1885" t="str">
            <v>905</v>
          </cell>
          <cell r="C1885" t="str">
            <v>10</v>
          </cell>
          <cell r="D1885" t="str">
            <v>06</v>
          </cell>
          <cell r="E1885" t="str">
            <v>795 22 00</v>
          </cell>
          <cell r="F1885" t="str">
            <v>500</v>
          </cell>
        </row>
        <row r="1886">
          <cell r="A1886" t="str">
            <v>Обеспечение жильем молодых семей Усольского района на 2012-2019гг.</v>
          </cell>
          <cell r="B1886" t="str">
            <v>905</v>
          </cell>
          <cell r="C1886" t="str">
            <v>10</v>
          </cell>
          <cell r="D1886" t="str">
            <v>06</v>
          </cell>
          <cell r="E1886" t="str">
            <v>795 24 00</v>
          </cell>
          <cell r="F1886" t="str">
            <v>500</v>
          </cell>
        </row>
        <row r="1887">
          <cell r="A1887" t="str">
            <v>Социально - экономическая поддержка молодых специалистов работающих в учреждениях образования, здравоохранения и культыры Усольского района на 2012-2014гг </v>
          </cell>
          <cell r="B1887" t="str">
            <v>903</v>
          </cell>
          <cell r="C1887" t="str">
            <v>10</v>
          </cell>
          <cell r="D1887" t="str">
            <v>06</v>
          </cell>
          <cell r="E1887" t="str">
            <v>795 34 00</v>
          </cell>
          <cell r="F1887" t="str">
            <v>500</v>
          </cell>
        </row>
        <row r="1888">
          <cell r="B1888" t="str">
            <v>905</v>
          </cell>
          <cell r="C1888" t="str">
            <v>10</v>
          </cell>
          <cell r="D1888" t="str">
            <v>06</v>
          </cell>
          <cell r="E1888" t="str">
            <v>795 34 00</v>
          </cell>
          <cell r="F1888" t="str">
            <v>500</v>
          </cell>
        </row>
        <row r="1889">
          <cell r="A1889" t="str">
            <v>"Старшее поколение на 2011 г"</v>
          </cell>
          <cell r="B1889" t="str">
            <v>902</v>
          </cell>
          <cell r="C1889" t="str">
            <v>10</v>
          </cell>
          <cell r="D1889" t="str">
            <v>06</v>
          </cell>
          <cell r="E1889" t="str">
            <v>795 27 00</v>
          </cell>
          <cell r="F1889" t="str">
            <v>500</v>
          </cell>
        </row>
        <row r="1890">
          <cell r="A1890" t="str">
            <v>Поступление нефинансовых активов</v>
          </cell>
          <cell r="B1890" t="str">
            <v>902</v>
          </cell>
          <cell r="C1890" t="str">
            <v>10</v>
          </cell>
          <cell r="D1890" t="str">
            <v>06</v>
          </cell>
          <cell r="E1890" t="str">
            <v>795 27 00</v>
          </cell>
          <cell r="F1890" t="str">
            <v>500</v>
          </cell>
        </row>
        <row r="1891">
          <cell r="A1891" t="str">
            <v>Увеличение стоимости материальных запасов </v>
          </cell>
          <cell r="B1891" t="str">
            <v>902</v>
          </cell>
          <cell r="C1891" t="str">
            <v>10</v>
          </cell>
          <cell r="D1891" t="str">
            <v>06</v>
          </cell>
          <cell r="E1891" t="str">
            <v>795 27 00</v>
          </cell>
          <cell r="F1891" t="str">
            <v>500</v>
          </cell>
        </row>
        <row r="1892">
          <cell r="B1892" t="str">
            <v>903</v>
          </cell>
          <cell r="C1892" t="str">
            <v>10</v>
          </cell>
          <cell r="D1892" t="str">
            <v>06</v>
          </cell>
          <cell r="E1892" t="str">
            <v>795 20 00</v>
          </cell>
          <cell r="F1892" t="str">
            <v>500</v>
          </cell>
        </row>
        <row r="1893">
          <cell r="B1893" t="str">
            <v>905</v>
          </cell>
          <cell r="C1893" t="str">
            <v>10</v>
          </cell>
          <cell r="D1893" t="str">
            <v>06</v>
          </cell>
          <cell r="E1893" t="str">
            <v>795 22 00</v>
          </cell>
          <cell r="F1893" t="str">
            <v>500</v>
          </cell>
        </row>
        <row r="1894">
          <cell r="B1894" t="str">
            <v>905</v>
          </cell>
          <cell r="C1894" t="str">
            <v>10</v>
          </cell>
          <cell r="D1894" t="str">
            <v>06</v>
          </cell>
          <cell r="E1894" t="str">
            <v>795 20 00</v>
          </cell>
          <cell r="F1894" t="str">
            <v>500</v>
          </cell>
        </row>
        <row r="1895">
          <cell r="A1895" t="str">
            <v>Целевые программы муниципальных образований "Комплексные меры злаупотребления наркотиками"</v>
          </cell>
          <cell r="C1895" t="str">
            <v>10</v>
          </cell>
          <cell r="D1895" t="str">
            <v>06</v>
          </cell>
          <cell r="E1895" t="str">
            <v>795 00 00</v>
          </cell>
          <cell r="F1895" t="str">
            <v>000</v>
          </cell>
        </row>
        <row r="1896">
          <cell r="A1896" t="str">
            <v>Выполнение функций органами местного самоуправления</v>
          </cell>
          <cell r="C1896" t="str">
            <v>10</v>
          </cell>
          <cell r="D1896" t="str">
            <v>06</v>
          </cell>
          <cell r="E1896" t="str">
            <v>795 00 00</v>
          </cell>
          <cell r="F1896" t="str">
            <v>500</v>
          </cell>
        </row>
        <row r="1897">
          <cell r="A1897" t="str">
            <v>Расходы</v>
          </cell>
          <cell r="C1897" t="str">
            <v>10</v>
          </cell>
          <cell r="D1897" t="str">
            <v>06</v>
          </cell>
          <cell r="E1897" t="str">
            <v>795 02 00</v>
          </cell>
          <cell r="F1897" t="str">
            <v>500</v>
          </cell>
        </row>
        <row r="1898">
          <cell r="A1898" t="str">
            <v>Приобретение работ, услуг</v>
          </cell>
          <cell r="C1898" t="str">
            <v>10</v>
          </cell>
          <cell r="D1898" t="str">
            <v>06</v>
          </cell>
          <cell r="E1898" t="str">
            <v>795 02 00</v>
          </cell>
          <cell r="F1898" t="str">
            <v>500</v>
          </cell>
        </row>
        <row r="1899">
          <cell r="A1899" t="str">
            <v>Почие услуги</v>
          </cell>
          <cell r="B1899" t="str">
            <v>902</v>
          </cell>
          <cell r="C1899" t="str">
            <v>10</v>
          </cell>
          <cell r="D1899" t="str">
            <v>06</v>
          </cell>
          <cell r="E1899" t="str">
            <v>795 02 00</v>
          </cell>
          <cell r="F1899" t="str">
            <v>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34"/>
  <sheetViews>
    <sheetView tabSelected="1" view="pageBreakPreview" zoomScaleNormal="95" zoomScaleSheetLayoutView="100" zoomScalePageLayoutView="0" workbookViewId="0" topLeftCell="A1">
      <selection activeCell="E6" sqref="E6"/>
    </sheetView>
  </sheetViews>
  <sheetFormatPr defaultColWidth="9.140625" defaultRowHeight="12.75"/>
  <cols>
    <col min="1" max="1" width="64.00390625" style="1" customWidth="1"/>
    <col min="2" max="2" width="7.140625" style="2" customWidth="1"/>
    <col min="3" max="4" width="4.8515625" style="3" customWidth="1"/>
    <col min="5" max="5" width="10.140625" style="3" customWidth="1"/>
    <col min="6" max="6" width="6.421875" style="3" customWidth="1"/>
    <col min="7" max="7" width="15.140625" style="6" hidden="1" customWidth="1"/>
    <col min="8" max="9" width="0.13671875" style="6" hidden="1" customWidth="1"/>
    <col min="10" max="10" width="15.28125" style="6" hidden="1" customWidth="1"/>
    <col min="11" max="11" width="0.13671875" style="6" hidden="1" customWidth="1"/>
    <col min="12" max="12" width="13.7109375" style="6" hidden="1" customWidth="1"/>
    <col min="13" max="13" width="14.28125" style="6" hidden="1" customWidth="1"/>
    <col min="14" max="14" width="16.421875" style="6" hidden="1" customWidth="1"/>
    <col min="15" max="15" width="15.140625" style="6" hidden="1" customWidth="1"/>
    <col min="16" max="17" width="15.28125" style="6" customWidth="1"/>
    <col min="18" max="18" width="9.140625" style="4" customWidth="1"/>
    <col min="19" max="19" width="8.28125" style="4" customWidth="1"/>
    <col min="20" max="16384" width="9.140625" style="4" customWidth="1"/>
  </cols>
  <sheetData>
    <row r="1" ht="12.75">
      <c r="E1" s="41" t="s">
        <v>604</v>
      </c>
    </row>
    <row r="2" spans="5:6" ht="12.75">
      <c r="E2" s="41" t="s">
        <v>96</v>
      </c>
      <c r="F2" s="5"/>
    </row>
    <row r="3" spans="5:6" ht="12.75">
      <c r="E3" s="41" t="s">
        <v>97</v>
      </c>
      <c r="F3" s="5"/>
    </row>
    <row r="4" spans="5:6" ht="12.75">
      <c r="E4" s="41" t="s">
        <v>509</v>
      </c>
      <c r="F4" s="5"/>
    </row>
    <row r="5" spans="5:6" ht="12.75">
      <c r="E5" s="41" t="s">
        <v>595</v>
      </c>
      <c r="F5" s="5"/>
    </row>
    <row r="6" spans="5:6" ht="12.75">
      <c r="E6" s="41" t="s">
        <v>623</v>
      </c>
      <c r="F6" s="5"/>
    </row>
    <row r="7" spans="3:6" ht="12.75">
      <c r="C7" s="41"/>
      <c r="E7" s="4"/>
      <c r="F7" s="5"/>
    </row>
    <row r="8" spans="5:17" ht="12.75">
      <c r="E8" s="3" t="s">
        <v>118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5.75" customHeight="1">
      <c r="A9" s="420" t="s">
        <v>605</v>
      </c>
      <c r="B9" s="420"/>
      <c r="C9" s="420"/>
      <c r="D9" s="420"/>
      <c r="E9" s="420"/>
      <c r="F9" s="420"/>
      <c r="G9" s="420"/>
      <c r="H9" s="420"/>
      <c r="I9" s="420"/>
      <c r="J9" s="420"/>
      <c r="K9" s="420"/>
      <c r="L9" s="420"/>
      <c r="M9" s="420"/>
      <c r="N9" s="420"/>
      <c r="O9" s="420"/>
      <c r="P9" s="420"/>
      <c r="Q9" s="420"/>
    </row>
    <row r="10" spans="1:17" ht="15.75" customHeight="1">
      <c r="A10" s="420" t="s">
        <v>606</v>
      </c>
      <c r="B10" s="420"/>
      <c r="C10" s="420"/>
      <c r="D10" s="420"/>
      <c r="E10" s="420"/>
      <c r="F10" s="420"/>
      <c r="G10" s="420"/>
      <c r="H10" s="420"/>
      <c r="I10" s="420"/>
      <c r="J10" s="420"/>
      <c r="K10" s="420"/>
      <c r="L10" s="420"/>
      <c r="M10" s="420"/>
      <c r="N10" s="420"/>
      <c r="O10" s="420"/>
      <c r="P10" s="420"/>
      <c r="Q10" s="420"/>
    </row>
    <row r="11" spans="1:17" ht="15.75" customHeight="1">
      <c r="A11" s="420" t="s">
        <v>607</v>
      </c>
      <c r="B11" s="420"/>
      <c r="C11" s="420"/>
      <c r="D11" s="420"/>
      <c r="E11" s="420"/>
      <c r="F11" s="420"/>
      <c r="G11" s="420"/>
      <c r="H11" s="420"/>
      <c r="I11" s="420"/>
      <c r="J11" s="420"/>
      <c r="K11" s="420"/>
      <c r="L11" s="420"/>
      <c r="M11" s="420"/>
      <c r="N11" s="420"/>
      <c r="O11" s="420"/>
      <c r="P11" s="420"/>
      <c r="Q11" s="420"/>
    </row>
    <row r="12" spans="1:17" ht="18.75" customHeight="1">
      <c r="A12" s="329"/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</row>
    <row r="13" spans="1:17" ht="12.75">
      <c r="A13" s="329"/>
      <c r="B13" s="329"/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29"/>
      <c r="N13" s="329"/>
      <c r="O13" s="329"/>
      <c r="P13" s="329"/>
      <c r="Q13" s="330" t="s">
        <v>102</v>
      </c>
    </row>
    <row r="14" spans="1:17" ht="0.75" customHeight="1" thickBot="1">
      <c r="A14" s="8"/>
      <c r="B14" s="9"/>
      <c r="C14" s="9"/>
      <c r="D14" s="9"/>
      <c r="E14" s="9"/>
      <c r="F14" s="10"/>
      <c r="G14" s="117" t="s">
        <v>102</v>
      </c>
      <c r="H14" s="11"/>
      <c r="I14" s="11"/>
      <c r="J14" s="117" t="s">
        <v>102</v>
      </c>
      <c r="K14" s="117" t="s">
        <v>102</v>
      </c>
      <c r="L14" s="117"/>
      <c r="M14" s="117"/>
      <c r="N14" s="117"/>
      <c r="O14" s="117"/>
      <c r="P14" s="117"/>
      <c r="Q14" s="117"/>
    </row>
    <row r="15" spans="1:17" s="15" customFormat="1" ht="63.75" thickBot="1">
      <c r="A15" s="265" t="s">
        <v>119</v>
      </c>
      <c r="B15" s="113" t="s">
        <v>380</v>
      </c>
      <c r="C15" s="114" t="s">
        <v>120</v>
      </c>
      <c r="D15" s="114" t="s">
        <v>121</v>
      </c>
      <c r="E15" s="114" t="s">
        <v>122</v>
      </c>
      <c r="F15" s="115" t="s">
        <v>123</v>
      </c>
      <c r="G15" s="127" t="s">
        <v>124</v>
      </c>
      <c r="H15" s="116" t="s">
        <v>125</v>
      </c>
      <c r="I15" s="116" t="s">
        <v>126</v>
      </c>
      <c r="J15" s="127" t="s">
        <v>1</v>
      </c>
      <c r="K15" s="168" t="s">
        <v>381</v>
      </c>
      <c r="L15" s="185" t="s">
        <v>382</v>
      </c>
      <c r="M15" s="193" t="s">
        <v>383</v>
      </c>
      <c r="N15" s="191" t="s">
        <v>385</v>
      </c>
      <c r="O15" s="219" t="s">
        <v>510</v>
      </c>
      <c r="P15" s="327" t="s">
        <v>593</v>
      </c>
      <c r="Q15" s="328" t="s">
        <v>594</v>
      </c>
    </row>
    <row r="16" spans="1:17" ht="13.5" thickBot="1">
      <c r="A16" s="266">
        <v>1</v>
      </c>
      <c r="B16" s="12">
        <v>2</v>
      </c>
      <c r="C16" s="13">
        <v>3</v>
      </c>
      <c r="D16" s="13">
        <v>4</v>
      </c>
      <c r="E16" s="13">
        <v>5</v>
      </c>
      <c r="F16" s="14">
        <v>6</v>
      </c>
      <c r="G16" s="128" t="s">
        <v>98</v>
      </c>
      <c r="H16" s="42" t="s">
        <v>127</v>
      </c>
      <c r="I16" s="42" t="s">
        <v>128</v>
      </c>
      <c r="J16" s="128" t="s">
        <v>98</v>
      </c>
      <c r="K16" s="169" t="s">
        <v>98</v>
      </c>
      <c r="L16" s="186"/>
      <c r="M16" s="42"/>
      <c r="N16" s="128"/>
      <c r="O16" s="128" t="s">
        <v>98</v>
      </c>
      <c r="P16" s="186" t="s">
        <v>98</v>
      </c>
      <c r="Q16" s="24" t="s">
        <v>592</v>
      </c>
    </row>
    <row r="17" spans="1:17" s="1" customFormat="1" ht="16.5" thickBot="1">
      <c r="A17" s="267" t="s">
        <v>100</v>
      </c>
      <c r="B17" s="118" t="s">
        <v>133</v>
      </c>
      <c r="C17" s="119" t="s">
        <v>130</v>
      </c>
      <c r="D17" s="119" t="s">
        <v>131</v>
      </c>
      <c r="E17" s="120"/>
      <c r="F17" s="121"/>
      <c r="G17" s="129" t="e">
        <f>G18+G56+G88+G119+G124+G27</f>
        <v>#REF!</v>
      </c>
      <c r="H17" s="129" t="e">
        <f>H18+H56+H88+H119+H124+H27</f>
        <v>#REF!</v>
      </c>
      <c r="I17" s="129" t="e">
        <f>I18+I56+I88+I119+I124+I27</f>
        <v>#REF!</v>
      </c>
      <c r="J17" s="129" t="e">
        <f>J18+J56+J88+J119+J124+J27</f>
        <v>#REF!</v>
      </c>
      <c r="K17" s="170" t="e">
        <f>K18+K27+K56+K88+K119+#REF!+K340</f>
        <v>#REF!</v>
      </c>
      <c r="L17" s="170" t="e">
        <f>L18+L27+L56+L88+L119+#REF!+L340</f>
        <v>#REF!</v>
      </c>
      <c r="M17" s="170" t="e">
        <f>M18+M27+M56+M88+M119+#REF!+M340</f>
        <v>#REF!</v>
      </c>
      <c r="N17" s="170" t="e">
        <f>N18+N27+N56+N88+N119+#REF!+N340</f>
        <v>#REF!</v>
      </c>
      <c r="O17" s="129">
        <f>O18+O27+O56+O88+O119+O80+O124</f>
        <v>64879.406416</v>
      </c>
      <c r="P17" s="364">
        <f>P18+P27+P56+P88+P119+P80+P124</f>
        <v>64102.306416</v>
      </c>
      <c r="Q17" s="365">
        <f>Q18+Q27+Q56+Q88+Q119+Q80+Q124</f>
        <v>64085.906416</v>
      </c>
    </row>
    <row r="18" spans="1:17" s="1" customFormat="1" ht="43.5" thickBot="1">
      <c r="A18" s="268" t="s">
        <v>103</v>
      </c>
      <c r="B18" s="16" t="s">
        <v>134</v>
      </c>
      <c r="C18" s="17" t="s">
        <v>130</v>
      </c>
      <c r="D18" s="17" t="s">
        <v>135</v>
      </c>
      <c r="E18" s="18"/>
      <c r="F18" s="19"/>
      <c r="G18" s="130">
        <f aca="true" t="shared" si="0" ref="G18:Q20">G19</f>
        <v>2025.5361300000002</v>
      </c>
      <c r="H18" s="20">
        <f t="shared" si="0"/>
        <v>1920.0394577000004</v>
      </c>
      <c r="I18" s="20">
        <f t="shared" si="0"/>
        <v>2006.1863965</v>
      </c>
      <c r="J18" s="130">
        <f t="shared" si="0"/>
        <v>97.00105</v>
      </c>
      <c r="K18" s="171">
        <f t="shared" si="0"/>
        <v>2122.53718</v>
      </c>
      <c r="L18" s="195">
        <f t="shared" si="0"/>
        <v>0</v>
      </c>
      <c r="M18" s="20">
        <f t="shared" si="0"/>
        <v>0</v>
      </c>
      <c r="N18" s="130">
        <f t="shared" si="0"/>
        <v>2122.53718</v>
      </c>
      <c r="O18" s="130">
        <f t="shared" si="0"/>
        <v>1698.0297440000002</v>
      </c>
      <c r="P18" s="366">
        <f t="shared" si="0"/>
        <v>1698.0297440000002</v>
      </c>
      <c r="Q18" s="367">
        <f t="shared" si="0"/>
        <v>1698.0297440000002</v>
      </c>
    </row>
    <row r="19" spans="1:17" s="1" customFormat="1" ht="38.25">
      <c r="A19" s="269" t="s">
        <v>172</v>
      </c>
      <c r="B19" s="43" t="s">
        <v>134</v>
      </c>
      <c r="C19" s="44" t="s">
        <v>130</v>
      </c>
      <c r="D19" s="44" t="s">
        <v>135</v>
      </c>
      <c r="E19" s="45" t="s">
        <v>136</v>
      </c>
      <c r="F19" s="46"/>
      <c r="G19" s="131">
        <f t="shared" si="0"/>
        <v>2025.5361300000002</v>
      </c>
      <c r="H19" s="47">
        <f t="shared" si="0"/>
        <v>1920.0394577000004</v>
      </c>
      <c r="I19" s="47">
        <f t="shared" si="0"/>
        <v>2006.1863965</v>
      </c>
      <c r="J19" s="131">
        <f t="shared" si="0"/>
        <v>97.00105</v>
      </c>
      <c r="K19" s="172">
        <f t="shared" si="0"/>
        <v>2122.53718</v>
      </c>
      <c r="L19" s="196">
        <f t="shared" si="0"/>
        <v>0</v>
      </c>
      <c r="M19" s="47">
        <f t="shared" si="0"/>
        <v>0</v>
      </c>
      <c r="N19" s="47">
        <f t="shared" si="0"/>
        <v>2122.53718</v>
      </c>
      <c r="O19" s="47">
        <f t="shared" si="0"/>
        <v>1698.0297440000002</v>
      </c>
      <c r="P19" s="368">
        <f t="shared" si="0"/>
        <v>1698.0297440000002</v>
      </c>
      <c r="Q19" s="369">
        <f t="shared" si="0"/>
        <v>1698.0297440000002</v>
      </c>
    </row>
    <row r="20" spans="1:17" s="1" customFormat="1" ht="15" customHeight="1">
      <c r="A20" s="270" t="s">
        <v>137</v>
      </c>
      <c r="B20" s="48" t="s">
        <v>134</v>
      </c>
      <c r="C20" s="49" t="s">
        <v>130</v>
      </c>
      <c r="D20" s="49" t="s">
        <v>135</v>
      </c>
      <c r="E20" s="50" t="s">
        <v>138</v>
      </c>
      <c r="F20" s="51"/>
      <c r="G20" s="71">
        <f t="shared" si="0"/>
        <v>2025.5361300000002</v>
      </c>
      <c r="H20" s="52">
        <f t="shared" si="0"/>
        <v>1920.0394577000004</v>
      </c>
      <c r="I20" s="52">
        <f t="shared" si="0"/>
        <v>2006.1863965</v>
      </c>
      <c r="J20" s="71">
        <f t="shared" si="0"/>
        <v>97.00105</v>
      </c>
      <c r="K20" s="173">
        <f t="shared" si="0"/>
        <v>2122.53718</v>
      </c>
      <c r="L20" s="187">
        <f t="shared" si="0"/>
        <v>0</v>
      </c>
      <c r="M20" s="52">
        <f t="shared" si="0"/>
        <v>0</v>
      </c>
      <c r="N20" s="52">
        <f t="shared" si="0"/>
        <v>2122.53718</v>
      </c>
      <c r="O20" s="52">
        <f t="shared" si="0"/>
        <v>1698.0297440000002</v>
      </c>
      <c r="P20" s="370">
        <f t="shared" si="0"/>
        <v>1698.0297440000002</v>
      </c>
      <c r="Q20" s="371">
        <f t="shared" si="0"/>
        <v>1698.0297440000002</v>
      </c>
    </row>
    <row r="21" spans="1:17" s="1" customFormat="1" ht="16.5" customHeight="1" thickBot="1">
      <c r="A21" s="271" t="s">
        <v>79</v>
      </c>
      <c r="B21" s="99" t="s">
        <v>134</v>
      </c>
      <c r="C21" s="53" t="s">
        <v>130</v>
      </c>
      <c r="D21" s="53" t="s">
        <v>135</v>
      </c>
      <c r="E21" s="54" t="s">
        <v>138</v>
      </c>
      <c r="F21" s="55" t="s">
        <v>76</v>
      </c>
      <c r="G21" s="156">
        <f aca="true" t="shared" si="1" ref="G21:N21">G24+G25+G26</f>
        <v>2025.5361300000002</v>
      </c>
      <c r="H21" s="157">
        <f t="shared" si="1"/>
        <v>1920.0394577000004</v>
      </c>
      <c r="I21" s="157">
        <f t="shared" si="1"/>
        <v>2006.1863965</v>
      </c>
      <c r="J21" s="156">
        <f t="shared" si="1"/>
        <v>97.00105</v>
      </c>
      <c r="K21" s="174">
        <f t="shared" si="1"/>
        <v>2122.53718</v>
      </c>
      <c r="L21" s="188">
        <f t="shared" si="1"/>
        <v>0</v>
      </c>
      <c r="M21" s="157">
        <f t="shared" si="1"/>
        <v>0</v>
      </c>
      <c r="N21" s="157">
        <f t="shared" si="1"/>
        <v>2122.53718</v>
      </c>
      <c r="O21" s="157">
        <f>O24+O25+O26</f>
        <v>1698.0297440000002</v>
      </c>
      <c r="P21" s="372">
        <f>P24+P25+P26</f>
        <v>1698.0297440000002</v>
      </c>
      <c r="Q21" s="373">
        <f>Q24+Q25+Q26</f>
        <v>1698.0297440000002</v>
      </c>
    </row>
    <row r="22" spans="1:17" s="1" customFormat="1" ht="13.5" customHeight="1" hidden="1" thickBot="1">
      <c r="A22" s="272"/>
      <c r="B22" s="26"/>
      <c r="C22" s="56"/>
      <c r="D22" s="56"/>
      <c r="E22" s="57"/>
      <c r="F22" s="58" t="s">
        <v>84</v>
      </c>
      <c r="G22" s="156">
        <f aca="true" t="shared" si="2" ref="G22:N22">G24+G26</f>
        <v>2025.5361300000002</v>
      </c>
      <c r="H22" s="157">
        <f t="shared" si="2"/>
        <v>1915.0344577000003</v>
      </c>
      <c r="I22" s="157">
        <f t="shared" si="2"/>
        <v>2000.9613965</v>
      </c>
      <c r="J22" s="156">
        <f t="shared" si="2"/>
        <v>97.00105</v>
      </c>
      <c r="K22" s="174">
        <f t="shared" si="2"/>
        <v>2122.53718</v>
      </c>
      <c r="L22" s="198">
        <f t="shared" si="2"/>
        <v>0</v>
      </c>
      <c r="M22" s="157">
        <f t="shared" si="2"/>
        <v>0</v>
      </c>
      <c r="N22" s="157">
        <f t="shared" si="2"/>
        <v>2122.53718</v>
      </c>
      <c r="O22" s="157">
        <f>O24+O26</f>
        <v>1698.0297440000002</v>
      </c>
      <c r="P22" s="372">
        <f>P24+P26</f>
        <v>1698.0297440000002</v>
      </c>
      <c r="Q22" s="373">
        <f>Q24+Q26</f>
        <v>1698.0297440000002</v>
      </c>
    </row>
    <row r="23" spans="1:17" s="1" customFormat="1" ht="13.5" customHeight="1" hidden="1">
      <c r="A23" s="272"/>
      <c r="B23" s="26"/>
      <c r="C23" s="56"/>
      <c r="D23" s="56"/>
      <c r="E23" s="57"/>
      <c r="F23" s="58" t="s">
        <v>85</v>
      </c>
      <c r="G23" s="156">
        <f>G25</f>
        <v>0</v>
      </c>
      <c r="H23" s="157">
        <f>H25</f>
        <v>5.005</v>
      </c>
      <c r="I23" s="157">
        <f>I25</f>
        <v>5.225</v>
      </c>
      <c r="J23" s="156">
        <f>J25</f>
        <v>0</v>
      </c>
      <c r="K23" s="174">
        <v>0</v>
      </c>
      <c r="L23" s="200">
        <v>0</v>
      </c>
      <c r="M23" s="157">
        <v>0</v>
      </c>
      <c r="N23" s="157">
        <v>0</v>
      </c>
      <c r="O23" s="157">
        <v>0</v>
      </c>
      <c r="P23" s="372">
        <v>0</v>
      </c>
      <c r="Q23" s="373">
        <v>0</v>
      </c>
    </row>
    <row r="24" spans="1:17" ht="15.75" customHeight="1" hidden="1" thickBot="1">
      <c r="A24" s="272"/>
      <c r="B24" s="26"/>
      <c r="C24" s="56"/>
      <c r="D24" s="56"/>
      <c r="E24" s="57"/>
      <c r="F24" s="58" t="s">
        <v>146</v>
      </c>
      <c r="G24" s="65">
        <v>1745.13261</v>
      </c>
      <c r="H24" s="59">
        <f>1816.80147*0.91</f>
        <v>1653.2893377000003</v>
      </c>
      <c r="I24" s="59">
        <f>1816.80147*0.95</f>
        <v>1725.9613965</v>
      </c>
      <c r="J24" s="65">
        <v>77.85939</v>
      </c>
      <c r="K24" s="164">
        <v>1822.992</v>
      </c>
      <c r="L24" s="63"/>
      <c r="M24" s="59"/>
      <c r="N24" s="59">
        <v>1822.992</v>
      </c>
      <c r="O24" s="59">
        <f>N24*0.8</f>
        <v>1458.3936</v>
      </c>
      <c r="P24" s="374">
        <f>O24</f>
        <v>1458.3936</v>
      </c>
      <c r="Q24" s="375">
        <f>P24</f>
        <v>1458.3936</v>
      </c>
    </row>
    <row r="25" spans="1:17" ht="14.25" customHeight="1" hidden="1">
      <c r="A25" s="270"/>
      <c r="B25" s="48"/>
      <c r="C25" s="53"/>
      <c r="D25" s="53"/>
      <c r="E25" s="54"/>
      <c r="F25" s="55" t="s">
        <v>147</v>
      </c>
      <c r="G25" s="65"/>
      <c r="H25" s="59">
        <f>5.5*0.91</f>
        <v>5.005</v>
      </c>
      <c r="I25" s="59">
        <f>5.5*0.95</f>
        <v>5.225</v>
      </c>
      <c r="J25" s="65"/>
      <c r="K25" s="164"/>
      <c r="L25" s="199"/>
      <c r="M25" s="59"/>
      <c r="N25" s="59">
        <f>K25+L25+M25</f>
        <v>0</v>
      </c>
      <c r="O25" s="59">
        <f>N25*0.8</f>
        <v>0</v>
      </c>
      <c r="P25" s="374">
        <f>M25+N25+O25</f>
        <v>0</v>
      </c>
      <c r="Q25" s="375">
        <f>N25+O25+P25</f>
        <v>0</v>
      </c>
    </row>
    <row r="26" spans="1:17" ht="17.25" customHeight="1" hidden="1" thickBot="1">
      <c r="A26" s="273"/>
      <c r="B26" s="35"/>
      <c r="C26" s="60"/>
      <c r="D26" s="60"/>
      <c r="E26" s="61"/>
      <c r="F26" s="62" t="s">
        <v>148</v>
      </c>
      <c r="G26" s="70">
        <v>280.40352</v>
      </c>
      <c r="H26" s="63">
        <f>(512*0.302+1304*0.102)*0.91</f>
        <v>261.74512</v>
      </c>
      <c r="I26" s="63">
        <f>275</f>
        <v>275</v>
      </c>
      <c r="J26" s="70">
        <v>19.14166</v>
      </c>
      <c r="K26" s="164">
        <f>G26+J26</f>
        <v>299.54518</v>
      </c>
      <c r="L26" s="197"/>
      <c r="M26" s="63"/>
      <c r="N26" s="63">
        <v>299.54518</v>
      </c>
      <c r="O26" s="59">
        <f>N26*0.8</f>
        <v>239.63614400000003</v>
      </c>
      <c r="P26" s="376">
        <f>O26</f>
        <v>239.63614400000003</v>
      </c>
      <c r="Q26" s="377">
        <f>P26</f>
        <v>239.63614400000003</v>
      </c>
    </row>
    <row r="27" spans="1:17" ht="43.5" thickBot="1">
      <c r="A27" s="268" t="s">
        <v>149</v>
      </c>
      <c r="B27" s="16" t="s">
        <v>134</v>
      </c>
      <c r="C27" s="17" t="s">
        <v>130</v>
      </c>
      <c r="D27" s="17" t="s">
        <v>150</v>
      </c>
      <c r="E27" s="18"/>
      <c r="F27" s="19"/>
      <c r="G27" s="130">
        <f aca="true" t="shared" si="3" ref="G27:Q27">G28</f>
        <v>2640</v>
      </c>
      <c r="H27" s="20">
        <f t="shared" si="3"/>
        <v>2429.7000000000003</v>
      </c>
      <c r="I27" s="20">
        <f t="shared" si="3"/>
        <v>2502.2999999999997</v>
      </c>
      <c r="J27" s="130">
        <f t="shared" si="3"/>
        <v>252.83303999999998</v>
      </c>
      <c r="K27" s="171">
        <f t="shared" si="3"/>
        <v>2892.83304</v>
      </c>
      <c r="L27" s="171">
        <f t="shared" si="3"/>
        <v>0</v>
      </c>
      <c r="M27" s="171">
        <f t="shared" si="3"/>
        <v>6.59728</v>
      </c>
      <c r="N27" s="171">
        <f t="shared" si="3"/>
        <v>2867.353</v>
      </c>
      <c r="O27" s="130">
        <f t="shared" si="3"/>
        <v>2293.8824000000004</v>
      </c>
      <c r="P27" s="366">
        <f t="shared" si="3"/>
        <v>2293.8824000000004</v>
      </c>
      <c r="Q27" s="367">
        <f t="shared" si="3"/>
        <v>2293.8824000000004</v>
      </c>
    </row>
    <row r="28" spans="1:17" ht="39" thickBot="1">
      <c r="A28" s="274" t="s">
        <v>172</v>
      </c>
      <c r="B28" s="29" t="s">
        <v>134</v>
      </c>
      <c r="C28" s="30" t="s">
        <v>130</v>
      </c>
      <c r="D28" s="30" t="s">
        <v>150</v>
      </c>
      <c r="E28" s="31" t="s">
        <v>136</v>
      </c>
      <c r="F28" s="32"/>
      <c r="G28" s="132">
        <f aca="true" t="shared" si="4" ref="G28:N28">G29+G45</f>
        <v>2640</v>
      </c>
      <c r="H28" s="25">
        <f t="shared" si="4"/>
        <v>2429.7000000000003</v>
      </c>
      <c r="I28" s="25">
        <f t="shared" si="4"/>
        <v>2502.2999999999997</v>
      </c>
      <c r="J28" s="132">
        <f t="shared" si="4"/>
        <v>252.83303999999998</v>
      </c>
      <c r="K28" s="175">
        <f t="shared" si="4"/>
        <v>2892.83304</v>
      </c>
      <c r="L28" s="175">
        <f t="shared" si="4"/>
        <v>0</v>
      </c>
      <c r="M28" s="175">
        <f t="shared" si="4"/>
        <v>6.59728</v>
      </c>
      <c r="N28" s="175">
        <f t="shared" si="4"/>
        <v>2867.353</v>
      </c>
      <c r="O28" s="132">
        <f>O29+O45</f>
        <v>2293.8824000000004</v>
      </c>
      <c r="P28" s="378">
        <f>P29+P45</f>
        <v>2293.8824000000004</v>
      </c>
      <c r="Q28" s="379">
        <f>Q29+Q45</f>
        <v>2293.8824000000004</v>
      </c>
    </row>
    <row r="29" spans="1:17" ht="16.5" customHeight="1">
      <c r="A29" s="275" t="s">
        <v>151</v>
      </c>
      <c r="B29" s="43" t="s">
        <v>134</v>
      </c>
      <c r="C29" s="44" t="s">
        <v>130</v>
      </c>
      <c r="D29" s="44" t="s">
        <v>150</v>
      </c>
      <c r="E29" s="45" t="s">
        <v>152</v>
      </c>
      <c r="F29" s="46"/>
      <c r="G29" s="64">
        <f aca="true" t="shared" si="5" ref="G29:N29">G30+G34+G41</f>
        <v>1123.2</v>
      </c>
      <c r="H29" s="64">
        <f t="shared" si="5"/>
        <v>1046.5</v>
      </c>
      <c r="I29" s="64">
        <f t="shared" si="5"/>
        <v>1092.5</v>
      </c>
      <c r="J29" s="64">
        <f t="shared" si="5"/>
        <v>191.5664</v>
      </c>
      <c r="K29" s="176">
        <f t="shared" si="5"/>
        <v>1314.7664</v>
      </c>
      <c r="L29" s="176">
        <f t="shared" si="5"/>
        <v>0</v>
      </c>
      <c r="M29" s="176">
        <f t="shared" si="5"/>
        <v>6.59728</v>
      </c>
      <c r="N29" s="176">
        <f t="shared" si="5"/>
        <v>1339.353</v>
      </c>
      <c r="O29" s="64">
        <f>O30+O34+O41</f>
        <v>1071.4824</v>
      </c>
      <c r="P29" s="380">
        <f>P30+P34+P41</f>
        <v>1071.4824</v>
      </c>
      <c r="Q29" s="381">
        <f>Q30+Q34+Q41</f>
        <v>1071.4824</v>
      </c>
    </row>
    <row r="30" spans="1:17" ht="15.75" customHeight="1">
      <c r="A30" s="276" t="s">
        <v>79</v>
      </c>
      <c r="B30" s="99" t="s">
        <v>134</v>
      </c>
      <c r="C30" s="53" t="s">
        <v>130</v>
      </c>
      <c r="D30" s="53" t="s">
        <v>150</v>
      </c>
      <c r="E30" s="54" t="s">
        <v>152</v>
      </c>
      <c r="F30" s="55" t="s">
        <v>76</v>
      </c>
      <c r="G30" s="65">
        <f aca="true" t="shared" si="6" ref="G30:N30">G32+G33</f>
        <v>552</v>
      </c>
      <c r="H30" s="65">
        <f t="shared" si="6"/>
        <v>523.25</v>
      </c>
      <c r="I30" s="65">
        <f t="shared" si="6"/>
        <v>546.25</v>
      </c>
      <c r="J30" s="65">
        <f t="shared" si="6"/>
        <v>167.7664</v>
      </c>
      <c r="K30" s="164">
        <f t="shared" si="6"/>
        <v>719.7664</v>
      </c>
      <c r="L30" s="164">
        <f t="shared" si="6"/>
        <v>0</v>
      </c>
      <c r="M30" s="164">
        <f t="shared" si="6"/>
        <v>6.59728</v>
      </c>
      <c r="N30" s="164">
        <f t="shared" si="6"/>
        <v>759.3530000000001</v>
      </c>
      <c r="O30" s="65">
        <f>O32+O33</f>
        <v>607.4824000000001</v>
      </c>
      <c r="P30" s="374">
        <f>P32+P33</f>
        <v>607.4824000000001</v>
      </c>
      <c r="Q30" s="375">
        <f>Q32+Q33</f>
        <v>607.4824000000001</v>
      </c>
    </row>
    <row r="31" spans="1:17" ht="16.5" customHeight="1" hidden="1">
      <c r="A31" s="271"/>
      <c r="B31" s="99"/>
      <c r="C31" s="53"/>
      <c r="D31" s="53"/>
      <c r="E31" s="54"/>
      <c r="F31" s="55" t="s">
        <v>84</v>
      </c>
      <c r="G31" s="65">
        <f aca="true" t="shared" si="7" ref="G31:N31">G32+G33</f>
        <v>552</v>
      </c>
      <c r="H31" s="65">
        <f t="shared" si="7"/>
        <v>523.25</v>
      </c>
      <c r="I31" s="65">
        <f t="shared" si="7"/>
        <v>546.25</v>
      </c>
      <c r="J31" s="65">
        <f t="shared" si="7"/>
        <v>167.7664</v>
      </c>
      <c r="K31" s="164">
        <f t="shared" si="7"/>
        <v>719.7664</v>
      </c>
      <c r="L31" s="164">
        <f t="shared" si="7"/>
        <v>0</v>
      </c>
      <c r="M31" s="164">
        <f t="shared" si="7"/>
        <v>6.59728</v>
      </c>
      <c r="N31" s="164">
        <f t="shared" si="7"/>
        <v>759.3530000000001</v>
      </c>
      <c r="O31" s="65">
        <f>O32+O33</f>
        <v>607.4824000000001</v>
      </c>
      <c r="P31" s="374">
        <f>P32+P33</f>
        <v>607.4824000000001</v>
      </c>
      <c r="Q31" s="375">
        <f>Q32+Q33</f>
        <v>607.4824000000001</v>
      </c>
    </row>
    <row r="32" spans="1:17" ht="12.75" hidden="1">
      <c r="A32" s="271"/>
      <c r="B32" s="99"/>
      <c r="C32" s="53"/>
      <c r="D32" s="53"/>
      <c r="E32" s="54"/>
      <c r="F32" s="55" t="s">
        <v>146</v>
      </c>
      <c r="G32" s="65">
        <v>442</v>
      </c>
      <c r="H32" s="65">
        <f>442*0.91</f>
        <v>402.22</v>
      </c>
      <c r="I32" s="65">
        <f>442*0.95</f>
        <v>419.9</v>
      </c>
      <c r="J32" s="65">
        <v>110.7664</v>
      </c>
      <c r="K32" s="164">
        <v>552.8164</v>
      </c>
      <c r="L32" s="189"/>
      <c r="M32" s="59">
        <v>5.06703</v>
      </c>
      <c r="N32" s="65">
        <v>583.221</v>
      </c>
      <c r="O32" s="65">
        <f>N32*0.8</f>
        <v>466.57680000000005</v>
      </c>
      <c r="P32" s="374">
        <f>O32</f>
        <v>466.57680000000005</v>
      </c>
      <c r="Q32" s="375">
        <f>P32</f>
        <v>466.57680000000005</v>
      </c>
    </row>
    <row r="33" spans="1:17" ht="12.75" hidden="1">
      <c r="A33" s="277"/>
      <c r="B33" s="99"/>
      <c r="C33" s="53"/>
      <c r="D33" s="53"/>
      <c r="E33" s="54"/>
      <c r="F33" s="55" t="s">
        <v>148</v>
      </c>
      <c r="G33" s="65">
        <v>110</v>
      </c>
      <c r="H33" s="65">
        <f>133*0.91</f>
        <v>121.03</v>
      </c>
      <c r="I33" s="65">
        <f>133*0.95</f>
        <v>126.35</v>
      </c>
      <c r="J33" s="65">
        <v>57</v>
      </c>
      <c r="K33" s="164">
        <v>166.95</v>
      </c>
      <c r="L33" s="189"/>
      <c r="M33" s="59">
        <v>1.53025</v>
      </c>
      <c r="N33" s="65">
        <v>176.132</v>
      </c>
      <c r="O33" s="65">
        <f>N33*0.8</f>
        <v>140.90560000000002</v>
      </c>
      <c r="P33" s="374">
        <f>O33</f>
        <v>140.90560000000002</v>
      </c>
      <c r="Q33" s="375">
        <f>P33</f>
        <v>140.90560000000002</v>
      </c>
    </row>
    <row r="34" spans="1:17" ht="16.5" customHeight="1" thickBot="1">
      <c r="A34" s="278" t="s">
        <v>80</v>
      </c>
      <c r="B34" s="139" t="s">
        <v>134</v>
      </c>
      <c r="C34" s="87" t="s">
        <v>130</v>
      </c>
      <c r="D34" s="87" t="s">
        <v>150</v>
      </c>
      <c r="E34" s="90" t="s">
        <v>152</v>
      </c>
      <c r="F34" s="88" t="s">
        <v>77</v>
      </c>
      <c r="G34" s="70">
        <f>G35</f>
        <v>494.4</v>
      </c>
      <c r="H34" s="70">
        <f>H35</f>
        <v>468.65</v>
      </c>
      <c r="I34" s="70">
        <f>I35</f>
        <v>489.25</v>
      </c>
      <c r="J34" s="70">
        <f>J35</f>
        <v>20.6</v>
      </c>
      <c r="K34" s="177">
        <f aca="true" t="shared" si="8" ref="K34:Q34">K36+K37+K38+K39+K43+K44+K40</f>
        <v>515</v>
      </c>
      <c r="L34" s="177">
        <f t="shared" si="8"/>
        <v>80</v>
      </c>
      <c r="M34" s="177">
        <f t="shared" si="8"/>
        <v>0</v>
      </c>
      <c r="N34" s="177">
        <f t="shared" si="8"/>
        <v>580</v>
      </c>
      <c r="O34" s="70">
        <f t="shared" si="8"/>
        <v>464</v>
      </c>
      <c r="P34" s="376">
        <f t="shared" si="8"/>
        <v>464</v>
      </c>
      <c r="Q34" s="377">
        <f t="shared" si="8"/>
        <v>464</v>
      </c>
    </row>
    <row r="35" spans="1:17" ht="0.75" customHeight="1" hidden="1">
      <c r="A35" s="271"/>
      <c r="B35" s="105"/>
      <c r="C35" s="74"/>
      <c r="D35" s="74"/>
      <c r="E35" s="79"/>
      <c r="F35" s="75" t="s">
        <v>86</v>
      </c>
      <c r="G35" s="76">
        <f>G36+G37+G38+G39+G43+G44</f>
        <v>494.4</v>
      </c>
      <c r="H35" s="76">
        <f>H36+H37+H38+H39+H43+H44</f>
        <v>468.65</v>
      </c>
      <c r="I35" s="76">
        <f>I36+I37+I38+I39+I43+I44</f>
        <v>489.25</v>
      </c>
      <c r="J35" s="76">
        <f>J36+J37+J38+J39+J43+J44</f>
        <v>20.6</v>
      </c>
      <c r="K35" s="166">
        <f>K36+K37+K38+K39+K43+K44</f>
        <v>515</v>
      </c>
      <c r="L35" s="199"/>
      <c r="M35" s="98"/>
      <c r="N35" s="76"/>
      <c r="O35" s="76"/>
      <c r="P35" s="382"/>
      <c r="Q35" s="383"/>
    </row>
    <row r="36" spans="1:17" ht="12.75" hidden="1">
      <c r="A36" s="271"/>
      <c r="B36" s="99"/>
      <c r="C36" s="53"/>
      <c r="D36" s="53"/>
      <c r="E36" s="54"/>
      <c r="F36" s="55" t="s">
        <v>164</v>
      </c>
      <c r="G36" s="65">
        <v>5</v>
      </c>
      <c r="H36" s="65">
        <f>5*0.91</f>
        <v>4.55</v>
      </c>
      <c r="I36" s="65">
        <f>5*0.95</f>
        <v>4.75</v>
      </c>
      <c r="J36" s="65"/>
      <c r="K36" s="164">
        <v>5</v>
      </c>
      <c r="L36" s="189"/>
      <c r="M36" s="59"/>
      <c r="N36" s="65">
        <v>35</v>
      </c>
      <c r="O36" s="65">
        <f>N36*0.8</f>
        <v>28</v>
      </c>
      <c r="P36" s="374">
        <f>O36</f>
        <v>28</v>
      </c>
      <c r="Q36" s="375">
        <f>P36</f>
        <v>28</v>
      </c>
    </row>
    <row r="37" spans="1:17" ht="12.75" hidden="1">
      <c r="A37" s="271"/>
      <c r="B37" s="99"/>
      <c r="C37" s="53"/>
      <c r="D37" s="53"/>
      <c r="E37" s="54"/>
      <c r="F37" s="55" t="s">
        <v>165</v>
      </c>
      <c r="G37" s="65">
        <v>0</v>
      </c>
      <c r="H37" s="65">
        <f>5*0.91</f>
        <v>4.55</v>
      </c>
      <c r="I37" s="65">
        <f>5*0.95</f>
        <v>4.75</v>
      </c>
      <c r="J37" s="65">
        <v>5</v>
      </c>
      <c r="K37" s="164">
        <v>0</v>
      </c>
      <c r="L37" s="189"/>
      <c r="M37" s="59"/>
      <c r="N37" s="65">
        <v>0</v>
      </c>
      <c r="O37" s="65">
        <f>N37*0.8</f>
        <v>0</v>
      </c>
      <c r="P37" s="374">
        <f aca="true" t="shared" si="9" ref="P37:Q40">O37</f>
        <v>0</v>
      </c>
      <c r="Q37" s="375">
        <f t="shared" si="9"/>
        <v>0</v>
      </c>
    </row>
    <row r="38" spans="1:17" ht="12.75" hidden="1">
      <c r="A38" s="271"/>
      <c r="B38" s="99"/>
      <c r="C38" s="53"/>
      <c r="D38" s="53"/>
      <c r="E38" s="54"/>
      <c r="F38" s="55" t="s">
        <v>166</v>
      </c>
      <c r="G38" s="65">
        <v>0</v>
      </c>
      <c r="H38" s="65">
        <f>5*0.91</f>
        <v>4.55</v>
      </c>
      <c r="I38" s="65">
        <f>5*0.95</f>
        <v>4.75</v>
      </c>
      <c r="J38" s="65">
        <v>5</v>
      </c>
      <c r="K38" s="164">
        <v>0</v>
      </c>
      <c r="L38" s="189"/>
      <c r="M38" s="59"/>
      <c r="N38" s="65">
        <v>0</v>
      </c>
      <c r="O38" s="65">
        <f>N38*0.8</f>
        <v>0</v>
      </c>
      <c r="P38" s="374">
        <f t="shared" si="9"/>
        <v>0</v>
      </c>
      <c r="Q38" s="375">
        <f t="shared" si="9"/>
        <v>0</v>
      </c>
    </row>
    <row r="39" spans="1:17" ht="12.75" hidden="1">
      <c r="A39" s="271"/>
      <c r="B39" s="99"/>
      <c r="C39" s="53"/>
      <c r="D39" s="53"/>
      <c r="E39" s="54"/>
      <c r="F39" s="55" t="s">
        <v>167</v>
      </c>
      <c r="G39" s="65">
        <v>400</v>
      </c>
      <c r="H39" s="65">
        <f>400*0.91</f>
        <v>364</v>
      </c>
      <c r="I39" s="65">
        <f>400*0.95</f>
        <v>380</v>
      </c>
      <c r="J39" s="65"/>
      <c r="K39" s="164">
        <v>400</v>
      </c>
      <c r="L39" s="189"/>
      <c r="M39" s="59"/>
      <c r="N39" s="65">
        <f>K39+L39+M39</f>
        <v>400</v>
      </c>
      <c r="O39" s="65">
        <f>N39*0.8</f>
        <v>320</v>
      </c>
      <c r="P39" s="374">
        <f t="shared" si="9"/>
        <v>320</v>
      </c>
      <c r="Q39" s="375">
        <f t="shared" si="9"/>
        <v>320</v>
      </c>
    </row>
    <row r="40" spans="1:17" ht="12.75" hidden="1">
      <c r="A40" s="277"/>
      <c r="B40" s="99"/>
      <c r="C40" s="53"/>
      <c r="D40" s="53"/>
      <c r="E40" s="54"/>
      <c r="F40" s="55" t="s">
        <v>168</v>
      </c>
      <c r="G40" s="65">
        <f>80*0.96</f>
        <v>76.8</v>
      </c>
      <c r="H40" s="65">
        <f>60*0.91</f>
        <v>54.6</v>
      </c>
      <c r="I40" s="65">
        <f>60*0.95</f>
        <v>57</v>
      </c>
      <c r="J40" s="65">
        <v>3.2</v>
      </c>
      <c r="K40" s="164">
        <v>0</v>
      </c>
      <c r="L40" s="189">
        <v>80</v>
      </c>
      <c r="M40" s="59"/>
      <c r="N40" s="65">
        <v>80</v>
      </c>
      <c r="O40" s="65">
        <f>N40*0.8</f>
        <v>64</v>
      </c>
      <c r="P40" s="374">
        <f t="shared" si="9"/>
        <v>64</v>
      </c>
      <c r="Q40" s="375">
        <f t="shared" si="9"/>
        <v>64</v>
      </c>
    </row>
    <row r="41" spans="1:17" ht="13.5" hidden="1" thickBot="1">
      <c r="A41" s="278" t="s">
        <v>81</v>
      </c>
      <c r="B41" s="139" t="s">
        <v>134</v>
      </c>
      <c r="C41" s="87" t="s">
        <v>130</v>
      </c>
      <c r="D41" s="87" t="s">
        <v>150</v>
      </c>
      <c r="E41" s="90" t="s">
        <v>152</v>
      </c>
      <c r="F41" s="88" t="s">
        <v>78</v>
      </c>
      <c r="G41" s="70">
        <f aca="true" t="shared" si="10" ref="G41:K42">G40</f>
        <v>76.8</v>
      </c>
      <c r="H41" s="70">
        <f t="shared" si="10"/>
        <v>54.6</v>
      </c>
      <c r="I41" s="70">
        <f t="shared" si="10"/>
        <v>57</v>
      </c>
      <c r="J41" s="70">
        <f t="shared" si="10"/>
        <v>3.2</v>
      </c>
      <c r="K41" s="177">
        <v>80</v>
      </c>
      <c r="L41" s="177">
        <v>-80</v>
      </c>
      <c r="M41" s="177"/>
      <c r="N41" s="177">
        <f>K41+L41+M41</f>
        <v>0</v>
      </c>
      <c r="O41" s="70"/>
      <c r="P41" s="376"/>
      <c r="Q41" s="377"/>
    </row>
    <row r="42" spans="1:17" ht="0.75" customHeight="1" hidden="1">
      <c r="A42" s="276"/>
      <c r="B42" s="73"/>
      <c r="C42" s="74"/>
      <c r="D42" s="74"/>
      <c r="E42" s="79"/>
      <c r="F42" s="75" t="s">
        <v>87</v>
      </c>
      <c r="G42" s="76">
        <f t="shared" si="10"/>
        <v>76.8</v>
      </c>
      <c r="H42" s="76">
        <f t="shared" si="10"/>
        <v>54.6</v>
      </c>
      <c r="I42" s="76">
        <f t="shared" si="10"/>
        <v>57</v>
      </c>
      <c r="J42" s="76">
        <f t="shared" si="10"/>
        <v>3.2</v>
      </c>
      <c r="K42" s="166">
        <f t="shared" si="10"/>
        <v>80</v>
      </c>
      <c r="L42" s="189"/>
      <c r="M42" s="59"/>
      <c r="N42" s="65"/>
      <c r="O42" s="65"/>
      <c r="P42" s="374"/>
      <c r="Q42" s="375"/>
    </row>
    <row r="43" spans="1:17" ht="14.25" customHeight="1" hidden="1">
      <c r="A43" s="270"/>
      <c r="B43" s="48"/>
      <c r="C43" s="53"/>
      <c r="D43" s="53"/>
      <c r="E43" s="54"/>
      <c r="F43" s="55" t="s">
        <v>169</v>
      </c>
      <c r="G43" s="65">
        <v>49.4</v>
      </c>
      <c r="H43" s="65">
        <f>60*0.91</f>
        <v>54.6</v>
      </c>
      <c r="I43" s="65">
        <f>60*0.95</f>
        <v>57</v>
      </c>
      <c r="J43" s="65">
        <v>10.6</v>
      </c>
      <c r="K43" s="164">
        <v>70</v>
      </c>
      <c r="L43" s="189"/>
      <c r="M43" s="59"/>
      <c r="N43" s="65">
        <v>25</v>
      </c>
      <c r="O43" s="65">
        <f>N43*0.8</f>
        <v>20</v>
      </c>
      <c r="P43" s="374">
        <f>O43</f>
        <v>20</v>
      </c>
      <c r="Q43" s="375">
        <f>P43</f>
        <v>20</v>
      </c>
    </row>
    <row r="44" spans="1:17" ht="15.75" customHeight="1" hidden="1" thickBot="1">
      <c r="A44" s="273"/>
      <c r="B44" s="66"/>
      <c r="C44" s="67"/>
      <c r="D44" s="67"/>
      <c r="E44" s="68"/>
      <c r="F44" s="69" t="s">
        <v>170</v>
      </c>
      <c r="G44" s="70">
        <v>40</v>
      </c>
      <c r="H44" s="70">
        <f>40*0.91</f>
        <v>36.4</v>
      </c>
      <c r="I44" s="70">
        <f>40*0.95</f>
        <v>38</v>
      </c>
      <c r="J44" s="70"/>
      <c r="K44" s="164">
        <f>G44+J44</f>
        <v>40</v>
      </c>
      <c r="L44" s="189"/>
      <c r="M44" s="59"/>
      <c r="N44" s="65">
        <v>40</v>
      </c>
      <c r="O44" s="65">
        <f>N44*0.8</f>
        <v>32</v>
      </c>
      <c r="P44" s="374">
        <f>O44</f>
        <v>32</v>
      </c>
      <c r="Q44" s="375">
        <f>P44</f>
        <v>32</v>
      </c>
    </row>
    <row r="45" spans="1:17" ht="17.25" customHeight="1">
      <c r="A45" s="270" t="s">
        <v>162</v>
      </c>
      <c r="B45" s="43" t="s">
        <v>134</v>
      </c>
      <c r="C45" s="44" t="s">
        <v>130</v>
      </c>
      <c r="D45" s="44" t="s">
        <v>150</v>
      </c>
      <c r="E45" s="45" t="s">
        <v>163</v>
      </c>
      <c r="F45" s="46"/>
      <c r="G45" s="64">
        <f aca="true" t="shared" si="11" ref="G45:Q45">G46</f>
        <v>1516.8000000000002</v>
      </c>
      <c r="H45" s="64">
        <f t="shared" si="11"/>
        <v>1383.2000000000003</v>
      </c>
      <c r="I45" s="64">
        <f t="shared" si="11"/>
        <v>1409.7999999999997</v>
      </c>
      <c r="J45" s="64">
        <f t="shared" si="11"/>
        <v>61.26664</v>
      </c>
      <c r="K45" s="176">
        <f t="shared" si="11"/>
        <v>1578.06664</v>
      </c>
      <c r="L45" s="176">
        <f t="shared" si="11"/>
        <v>0</v>
      </c>
      <c r="M45" s="176">
        <f t="shared" si="11"/>
        <v>0</v>
      </c>
      <c r="N45" s="176">
        <f t="shared" si="11"/>
        <v>1528</v>
      </c>
      <c r="O45" s="64">
        <f t="shared" si="11"/>
        <v>1222.4</v>
      </c>
      <c r="P45" s="380">
        <f t="shared" si="11"/>
        <v>1222.4</v>
      </c>
      <c r="Q45" s="381">
        <f t="shared" si="11"/>
        <v>1222.4</v>
      </c>
    </row>
    <row r="46" spans="1:17" ht="16.5" customHeight="1" hidden="1">
      <c r="A46" s="270" t="s">
        <v>139</v>
      </c>
      <c r="B46" s="66" t="s">
        <v>134</v>
      </c>
      <c r="C46" s="67" t="s">
        <v>130</v>
      </c>
      <c r="D46" s="67" t="s">
        <v>150</v>
      </c>
      <c r="E46" s="68" t="s">
        <v>163</v>
      </c>
      <c r="F46" s="55"/>
      <c r="G46" s="65">
        <f aca="true" t="shared" si="12" ref="G46:N46">G47+G50+G53</f>
        <v>1516.8000000000002</v>
      </c>
      <c r="H46" s="65">
        <f t="shared" si="12"/>
        <v>1383.2000000000003</v>
      </c>
      <c r="I46" s="65">
        <f t="shared" si="12"/>
        <v>1409.7999999999997</v>
      </c>
      <c r="J46" s="65">
        <f t="shared" si="12"/>
        <v>61.26664</v>
      </c>
      <c r="K46" s="164">
        <f t="shared" si="12"/>
        <v>1578.06664</v>
      </c>
      <c r="L46" s="164">
        <f t="shared" si="12"/>
        <v>0</v>
      </c>
      <c r="M46" s="164">
        <f t="shared" si="12"/>
        <v>0</v>
      </c>
      <c r="N46" s="164">
        <f t="shared" si="12"/>
        <v>1528</v>
      </c>
      <c r="O46" s="65">
        <f>O47+O50+O53</f>
        <v>1222.4</v>
      </c>
      <c r="P46" s="374">
        <f>P47+P50+P53</f>
        <v>1222.4</v>
      </c>
      <c r="Q46" s="375">
        <f>Q47+Q50+Q53</f>
        <v>1222.4</v>
      </c>
    </row>
    <row r="47" spans="1:17" ht="17.25" customHeight="1">
      <c r="A47" s="277" t="s">
        <v>79</v>
      </c>
      <c r="B47" s="99" t="s">
        <v>134</v>
      </c>
      <c r="C47" s="53" t="s">
        <v>130</v>
      </c>
      <c r="D47" s="53" t="s">
        <v>150</v>
      </c>
      <c r="E47" s="54" t="s">
        <v>163</v>
      </c>
      <c r="F47" s="55" t="s">
        <v>76</v>
      </c>
      <c r="G47" s="65">
        <f aca="true" t="shared" si="13" ref="G47:N47">G48+G49</f>
        <v>1345.92</v>
      </c>
      <c r="H47" s="65">
        <f t="shared" si="13"/>
        <v>1275.8200000000002</v>
      </c>
      <c r="I47" s="65">
        <f t="shared" si="13"/>
        <v>1331.8999999999999</v>
      </c>
      <c r="J47" s="65">
        <f t="shared" si="13"/>
        <v>54.146640000000005</v>
      </c>
      <c r="K47" s="164">
        <f t="shared" si="13"/>
        <v>1400.06664</v>
      </c>
      <c r="L47" s="164">
        <f t="shared" si="13"/>
        <v>0</v>
      </c>
      <c r="M47" s="164">
        <f t="shared" si="13"/>
        <v>0</v>
      </c>
      <c r="N47" s="164">
        <f t="shared" si="13"/>
        <v>1398</v>
      </c>
      <c r="O47" s="65">
        <f>O48+O49</f>
        <v>1118.4</v>
      </c>
      <c r="P47" s="374">
        <f>P48+P49</f>
        <v>1118.4</v>
      </c>
      <c r="Q47" s="375">
        <f>Q48+Q49</f>
        <v>1118.4</v>
      </c>
    </row>
    <row r="48" spans="1:17" ht="15.75" customHeight="1" hidden="1">
      <c r="A48" s="270"/>
      <c r="B48" s="99"/>
      <c r="C48" s="53"/>
      <c r="D48" s="53"/>
      <c r="E48" s="54"/>
      <c r="F48" s="55" t="s">
        <v>146</v>
      </c>
      <c r="G48" s="65">
        <v>1168.5</v>
      </c>
      <c r="H48" s="65">
        <f>1179*0.91</f>
        <v>1072.89</v>
      </c>
      <c r="I48" s="65">
        <f>1179*0.95</f>
        <v>1120.05</v>
      </c>
      <c r="J48" s="65">
        <v>10.26664</v>
      </c>
      <c r="K48" s="164">
        <v>1233.14664</v>
      </c>
      <c r="L48" s="189">
        <v>-54.146</v>
      </c>
      <c r="M48" s="59"/>
      <c r="N48" s="65">
        <v>1179</v>
      </c>
      <c r="O48" s="65">
        <f>N48*0.8</f>
        <v>943.2</v>
      </c>
      <c r="P48" s="374">
        <f>O48</f>
        <v>943.2</v>
      </c>
      <c r="Q48" s="375">
        <f>P48</f>
        <v>943.2</v>
      </c>
    </row>
    <row r="49" spans="1:17" ht="14.25" customHeight="1" hidden="1">
      <c r="A49" s="272"/>
      <c r="B49" s="99"/>
      <c r="C49" s="53"/>
      <c r="D49" s="53"/>
      <c r="E49" s="54"/>
      <c r="F49" s="69" t="s">
        <v>148</v>
      </c>
      <c r="G49" s="65">
        <v>177.42</v>
      </c>
      <c r="H49" s="65">
        <f>223*0.91</f>
        <v>202.93</v>
      </c>
      <c r="I49" s="65">
        <f>223*0.95</f>
        <v>211.85</v>
      </c>
      <c r="J49" s="65">
        <v>43.88</v>
      </c>
      <c r="K49" s="164">
        <v>166.92</v>
      </c>
      <c r="L49" s="189">
        <v>54.146</v>
      </c>
      <c r="M49" s="59"/>
      <c r="N49" s="65">
        <v>219</v>
      </c>
      <c r="O49" s="65">
        <f>N49*0.8</f>
        <v>175.20000000000002</v>
      </c>
      <c r="P49" s="374">
        <f>O49</f>
        <v>175.20000000000002</v>
      </c>
      <c r="Q49" s="375">
        <f>P49</f>
        <v>175.20000000000002</v>
      </c>
    </row>
    <row r="50" spans="1:17" ht="15" customHeight="1">
      <c r="A50" s="271" t="s">
        <v>80</v>
      </c>
      <c r="B50" s="99" t="s">
        <v>134</v>
      </c>
      <c r="C50" s="53" t="s">
        <v>130</v>
      </c>
      <c r="D50" s="53" t="s">
        <v>150</v>
      </c>
      <c r="E50" s="54" t="s">
        <v>163</v>
      </c>
      <c r="F50" s="69" t="s">
        <v>77</v>
      </c>
      <c r="G50" s="65">
        <f aca="true" t="shared" si="14" ref="G50:N50">G51+G54+G55</f>
        <v>132.48000000000002</v>
      </c>
      <c r="H50" s="65">
        <f t="shared" si="14"/>
        <v>70.98</v>
      </c>
      <c r="I50" s="65">
        <f t="shared" si="14"/>
        <v>74.1</v>
      </c>
      <c r="J50" s="65">
        <f t="shared" si="14"/>
        <v>5.52</v>
      </c>
      <c r="K50" s="164">
        <f t="shared" si="14"/>
        <v>138</v>
      </c>
      <c r="L50" s="164">
        <f t="shared" si="14"/>
        <v>0</v>
      </c>
      <c r="M50" s="164">
        <f t="shared" si="14"/>
        <v>0</v>
      </c>
      <c r="N50" s="164">
        <f t="shared" si="14"/>
        <v>90</v>
      </c>
      <c r="O50" s="65">
        <f>O51+O54+O55</f>
        <v>72</v>
      </c>
      <c r="P50" s="374">
        <f>P51+P54+P55</f>
        <v>72</v>
      </c>
      <c r="Q50" s="375">
        <f>Q51+Q54+Q55</f>
        <v>72</v>
      </c>
    </row>
    <row r="51" spans="1:17" ht="14.25" customHeight="1" hidden="1">
      <c r="A51" s="272"/>
      <c r="B51" s="99"/>
      <c r="C51" s="53"/>
      <c r="D51" s="53"/>
      <c r="E51" s="54"/>
      <c r="F51" s="69" t="s">
        <v>165</v>
      </c>
      <c r="G51" s="65">
        <v>24.48</v>
      </c>
      <c r="H51" s="65">
        <f>30*0.91</f>
        <v>27.3</v>
      </c>
      <c r="I51" s="65">
        <f>30*0.95</f>
        <v>28.5</v>
      </c>
      <c r="J51" s="65">
        <v>5.52</v>
      </c>
      <c r="K51" s="164">
        <v>25</v>
      </c>
      <c r="L51" s="189"/>
      <c r="M51" s="59"/>
      <c r="N51" s="65">
        <v>30</v>
      </c>
      <c r="O51" s="65">
        <f>N51*0.8</f>
        <v>24</v>
      </c>
      <c r="P51" s="374">
        <f>O51</f>
        <v>24</v>
      </c>
      <c r="Q51" s="375">
        <f>P51</f>
        <v>24</v>
      </c>
    </row>
    <row r="52" spans="1:17" ht="15.75" customHeight="1" hidden="1">
      <c r="A52" s="272"/>
      <c r="B52" s="99"/>
      <c r="C52" s="53"/>
      <c r="D52" s="53"/>
      <c r="E52" s="54"/>
      <c r="F52" s="69" t="s">
        <v>168</v>
      </c>
      <c r="G52" s="65">
        <f>40*0.96</f>
        <v>38.4</v>
      </c>
      <c r="H52" s="65">
        <f>40*0.91</f>
        <v>36.4</v>
      </c>
      <c r="I52" s="65">
        <f>4*0.95</f>
        <v>3.8</v>
      </c>
      <c r="J52" s="65">
        <v>1.6</v>
      </c>
      <c r="K52" s="164">
        <f>G52+J52</f>
        <v>40</v>
      </c>
      <c r="L52" s="189"/>
      <c r="M52" s="59"/>
      <c r="N52" s="65">
        <v>40</v>
      </c>
      <c r="O52" s="65">
        <f>N52*0.8</f>
        <v>32</v>
      </c>
      <c r="P52" s="374">
        <f>O52</f>
        <v>32</v>
      </c>
      <c r="Q52" s="375">
        <f>P52</f>
        <v>32</v>
      </c>
    </row>
    <row r="53" spans="1:17" ht="16.5" customHeight="1" thickBot="1">
      <c r="A53" s="277" t="s">
        <v>81</v>
      </c>
      <c r="B53" s="99" t="s">
        <v>134</v>
      </c>
      <c r="C53" s="53" t="s">
        <v>130</v>
      </c>
      <c r="D53" s="53" t="s">
        <v>150</v>
      </c>
      <c r="E53" s="54" t="s">
        <v>163</v>
      </c>
      <c r="F53" s="69" t="s">
        <v>78</v>
      </c>
      <c r="G53" s="65">
        <f aca="true" t="shared" si="15" ref="G53:Q53">G52</f>
        <v>38.4</v>
      </c>
      <c r="H53" s="65">
        <f t="shared" si="15"/>
        <v>36.4</v>
      </c>
      <c r="I53" s="65">
        <f t="shared" si="15"/>
        <v>3.8</v>
      </c>
      <c r="J53" s="65">
        <f t="shared" si="15"/>
        <v>1.6</v>
      </c>
      <c r="K53" s="164">
        <f t="shared" si="15"/>
        <v>40</v>
      </c>
      <c r="L53" s="164">
        <f t="shared" si="15"/>
        <v>0</v>
      </c>
      <c r="M53" s="164">
        <f t="shared" si="15"/>
        <v>0</v>
      </c>
      <c r="N53" s="164">
        <f t="shared" si="15"/>
        <v>40</v>
      </c>
      <c r="O53" s="65">
        <f t="shared" si="15"/>
        <v>32</v>
      </c>
      <c r="P53" s="374">
        <f t="shared" si="15"/>
        <v>32</v>
      </c>
      <c r="Q53" s="375">
        <f t="shared" si="15"/>
        <v>32</v>
      </c>
    </row>
    <row r="54" spans="1:17" ht="15.75" customHeight="1" hidden="1">
      <c r="A54" s="272"/>
      <c r="B54" s="66"/>
      <c r="C54" s="67"/>
      <c r="D54" s="67"/>
      <c r="E54" s="68"/>
      <c r="F54" s="69" t="s">
        <v>167</v>
      </c>
      <c r="G54" s="65">
        <v>80</v>
      </c>
      <c r="H54" s="65">
        <f>20*0.91</f>
        <v>18.2</v>
      </c>
      <c r="I54" s="65">
        <f>20*0.95</f>
        <v>19</v>
      </c>
      <c r="J54" s="65"/>
      <c r="K54" s="164">
        <v>98</v>
      </c>
      <c r="L54" s="189"/>
      <c r="M54" s="59"/>
      <c r="N54" s="65">
        <v>30</v>
      </c>
      <c r="O54" s="65">
        <f>N54*0.8</f>
        <v>24</v>
      </c>
      <c r="P54" s="374">
        <f>O54</f>
        <v>24</v>
      </c>
      <c r="Q54" s="375">
        <f>P54</f>
        <v>24</v>
      </c>
    </row>
    <row r="55" spans="1:17" ht="15.75" customHeight="1" hidden="1" thickBot="1">
      <c r="A55" s="272"/>
      <c r="B55" s="66"/>
      <c r="C55" s="67"/>
      <c r="D55" s="67"/>
      <c r="E55" s="68"/>
      <c r="F55" s="69" t="s">
        <v>170</v>
      </c>
      <c r="G55" s="65">
        <v>28</v>
      </c>
      <c r="H55" s="65">
        <f>28*0.91</f>
        <v>25.48</v>
      </c>
      <c r="I55" s="65">
        <f>28*0.95</f>
        <v>26.599999999999998</v>
      </c>
      <c r="J55" s="65"/>
      <c r="K55" s="164">
        <v>15</v>
      </c>
      <c r="L55" s="189"/>
      <c r="M55" s="59"/>
      <c r="N55" s="65">
        <v>30</v>
      </c>
      <c r="O55" s="65">
        <f>N55*0.8</f>
        <v>24</v>
      </c>
      <c r="P55" s="374">
        <f>O55</f>
        <v>24</v>
      </c>
      <c r="Q55" s="375">
        <f>P55</f>
        <v>24</v>
      </c>
    </row>
    <row r="56" spans="1:17" s="1" customFormat="1" ht="45.75" customHeight="1" thickBot="1">
      <c r="A56" s="279" t="s">
        <v>105</v>
      </c>
      <c r="B56" s="123" t="s">
        <v>134</v>
      </c>
      <c r="C56" s="124" t="s">
        <v>130</v>
      </c>
      <c r="D56" s="124" t="s">
        <v>171</v>
      </c>
      <c r="E56" s="125"/>
      <c r="F56" s="126"/>
      <c r="G56" s="130">
        <f>G57+G75</f>
        <v>42898.4689</v>
      </c>
      <c r="H56" s="20" t="e">
        <f>H57+#REF!</f>
        <v>#REF!</v>
      </c>
      <c r="I56" s="20" t="e">
        <f>I57+#REF!</f>
        <v>#REF!</v>
      </c>
      <c r="J56" s="130">
        <f aca="true" t="shared" si="16" ref="J56:O56">J57+J75</f>
        <v>10173.01378</v>
      </c>
      <c r="K56" s="171">
        <f t="shared" si="16"/>
        <v>53071.48268</v>
      </c>
      <c r="L56" s="171">
        <f t="shared" si="16"/>
        <v>-200</v>
      </c>
      <c r="M56" s="171">
        <f t="shared" si="16"/>
        <v>1146.2694099999999</v>
      </c>
      <c r="N56" s="171">
        <f t="shared" si="16"/>
        <v>55854.56942</v>
      </c>
      <c r="O56" s="130">
        <f t="shared" si="16"/>
        <v>45508.655536</v>
      </c>
      <c r="P56" s="366">
        <f>P57+P75</f>
        <v>44858.655536</v>
      </c>
      <c r="Q56" s="367">
        <f>Q57+Q75</f>
        <v>44808.655536</v>
      </c>
    </row>
    <row r="57" spans="1:17" s="1" customFormat="1" ht="38.25">
      <c r="A57" s="269" t="s">
        <v>172</v>
      </c>
      <c r="B57" s="43" t="s">
        <v>134</v>
      </c>
      <c r="C57" s="44" t="s">
        <v>130</v>
      </c>
      <c r="D57" s="44" t="s">
        <v>171</v>
      </c>
      <c r="E57" s="45" t="s">
        <v>136</v>
      </c>
      <c r="F57" s="46"/>
      <c r="G57" s="64">
        <f aca="true" t="shared" si="17" ref="G57:Q57">G58</f>
        <v>42073.4689</v>
      </c>
      <c r="H57" s="64">
        <f t="shared" si="17"/>
        <v>38411.495646232805</v>
      </c>
      <c r="I57" s="64">
        <f t="shared" si="17"/>
        <v>40189.10702981221</v>
      </c>
      <c r="J57" s="64">
        <f t="shared" si="17"/>
        <v>9348.01378</v>
      </c>
      <c r="K57" s="176">
        <f t="shared" si="17"/>
        <v>51421.48268</v>
      </c>
      <c r="L57" s="176">
        <f t="shared" si="17"/>
        <v>-200</v>
      </c>
      <c r="M57" s="176">
        <f t="shared" si="17"/>
        <v>1146.2694099999999</v>
      </c>
      <c r="N57" s="176">
        <f t="shared" si="17"/>
        <v>51729.56942</v>
      </c>
      <c r="O57" s="64">
        <f t="shared" si="17"/>
        <v>41383.655536</v>
      </c>
      <c r="P57" s="380">
        <f t="shared" si="17"/>
        <v>40733.655536</v>
      </c>
      <c r="Q57" s="381">
        <f t="shared" si="17"/>
        <v>40683.655536</v>
      </c>
    </row>
    <row r="58" spans="1:17" s="1" customFormat="1" ht="15.75" customHeight="1">
      <c r="A58" s="270" t="s">
        <v>151</v>
      </c>
      <c r="B58" s="48" t="s">
        <v>134</v>
      </c>
      <c r="C58" s="49" t="s">
        <v>130</v>
      </c>
      <c r="D58" s="49" t="s">
        <v>171</v>
      </c>
      <c r="E58" s="50" t="s">
        <v>152</v>
      </c>
      <c r="F58" s="51"/>
      <c r="G58" s="71">
        <f aca="true" t="shared" si="18" ref="G58:N58">G59+G63+G72</f>
        <v>42073.4689</v>
      </c>
      <c r="H58" s="71">
        <f t="shared" si="18"/>
        <v>38411.495646232805</v>
      </c>
      <c r="I58" s="71">
        <f t="shared" si="18"/>
        <v>40189.10702981221</v>
      </c>
      <c r="J58" s="71">
        <f t="shared" si="18"/>
        <v>9348.01378</v>
      </c>
      <c r="K58" s="173">
        <f t="shared" si="18"/>
        <v>51421.48268</v>
      </c>
      <c r="L58" s="173">
        <f t="shared" si="18"/>
        <v>-200</v>
      </c>
      <c r="M58" s="173">
        <f t="shared" si="18"/>
        <v>1146.2694099999999</v>
      </c>
      <c r="N58" s="173">
        <f t="shared" si="18"/>
        <v>51729.56942</v>
      </c>
      <c r="O58" s="71">
        <f>O59+O63+O72</f>
        <v>41383.655536</v>
      </c>
      <c r="P58" s="370">
        <f>P59+P63+P72</f>
        <v>40733.655536</v>
      </c>
      <c r="Q58" s="371">
        <f>Q59+Q63+Q72</f>
        <v>40683.655536</v>
      </c>
    </row>
    <row r="59" spans="1:17" ht="16.5" customHeight="1">
      <c r="A59" s="277" t="s">
        <v>79</v>
      </c>
      <c r="B59" s="99" t="s">
        <v>134</v>
      </c>
      <c r="C59" s="53" t="s">
        <v>130</v>
      </c>
      <c r="D59" s="53" t="s">
        <v>171</v>
      </c>
      <c r="E59" s="54" t="s">
        <v>152</v>
      </c>
      <c r="F59" s="55" t="s">
        <v>76</v>
      </c>
      <c r="G59" s="65">
        <f aca="true" t="shared" si="19" ref="G59:N59">G60+G61+G62</f>
        <v>32351.78282</v>
      </c>
      <c r="H59" s="65">
        <f t="shared" si="19"/>
        <v>30667.704136232802</v>
      </c>
      <c r="I59" s="65">
        <f t="shared" si="19"/>
        <v>31645.557529812202</v>
      </c>
      <c r="J59" s="65">
        <f t="shared" si="19"/>
        <v>6971.37859</v>
      </c>
      <c r="K59" s="164">
        <f t="shared" si="19"/>
        <v>39323.16141</v>
      </c>
      <c r="L59" s="164">
        <f t="shared" si="19"/>
        <v>0</v>
      </c>
      <c r="M59" s="164">
        <f t="shared" si="19"/>
        <v>417.52241</v>
      </c>
      <c r="N59" s="164">
        <f t="shared" si="19"/>
        <v>42297.19142</v>
      </c>
      <c r="O59" s="65">
        <f>O60+O61+O62</f>
        <v>33837.753136</v>
      </c>
      <c r="P59" s="374">
        <f>P60+P61+P62-650</f>
        <v>33187.753136</v>
      </c>
      <c r="Q59" s="375">
        <f>Q60+Q61+Q62-700</f>
        <v>33137.753136</v>
      </c>
    </row>
    <row r="60" spans="1:18" ht="12.75" hidden="1">
      <c r="A60" s="277"/>
      <c r="B60" s="99"/>
      <c r="C60" s="53"/>
      <c r="D60" s="53"/>
      <c r="E60" s="54"/>
      <c r="F60" s="55" t="s">
        <v>146</v>
      </c>
      <c r="G60" s="65">
        <v>24834.3186</v>
      </c>
      <c r="H60" s="65">
        <f>25871.56204*0.91</f>
        <v>23543.1214564</v>
      </c>
      <c r="I60" s="65">
        <f>25871.56204*0.95</f>
        <v>24577.983938</v>
      </c>
      <c r="J60" s="65">
        <v>5597.14192</v>
      </c>
      <c r="K60" s="164">
        <v>30431.46052</v>
      </c>
      <c r="L60" s="189"/>
      <c r="M60" s="59">
        <v>287.39056</v>
      </c>
      <c r="N60" s="65">
        <v>32472.88142</v>
      </c>
      <c r="O60" s="65">
        <f>N60*0.8</f>
        <v>25978.305136000003</v>
      </c>
      <c r="P60" s="374">
        <f aca="true" t="shared" si="20" ref="P60:Q62">O60</f>
        <v>25978.305136000003</v>
      </c>
      <c r="Q60" s="375">
        <f t="shared" si="20"/>
        <v>25978.305136000003</v>
      </c>
      <c r="R60" s="4" t="s">
        <v>390</v>
      </c>
    </row>
    <row r="61" spans="1:17" ht="12.75" hidden="1">
      <c r="A61" s="277"/>
      <c r="B61" s="99"/>
      <c r="C61" s="53"/>
      <c r="D61" s="53"/>
      <c r="E61" s="54"/>
      <c r="F61" s="55" t="s">
        <v>147</v>
      </c>
      <c r="G61" s="65">
        <v>17.5</v>
      </c>
      <c r="H61" s="65">
        <f>16*0.91</f>
        <v>14.56</v>
      </c>
      <c r="I61" s="65">
        <f>17*0.95</f>
        <v>16.15</v>
      </c>
      <c r="J61" s="65"/>
      <c r="K61" s="164">
        <v>17.5</v>
      </c>
      <c r="L61" s="189"/>
      <c r="M61" s="59"/>
      <c r="N61" s="65">
        <f>K61+L61+M61</f>
        <v>17.5</v>
      </c>
      <c r="O61" s="65">
        <f>N61*0.8</f>
        <v>14</v>
      </c>
      <c r="P61" s="374">
        <f t="shared" si="20"/>
        <v>14</v>
      </c>
      <c r="Q61" s="375">
        <f t="shared" si="20"/>
        <v>14</v>
      </c>
    </row>
    <row r="62" spans="1:17" ht="12.75" hidden="1">
      <c r="A62" s="277"/>
      <c r="B62" s="99"/>
      <c r="C62" s="53"/>
      <c r="D62" s="53"/>
      <c r="E62" s="54"/>
      <c r="F62" s="55" t="s">
        <v>148</v>
      </c>
      <c r="G62" s="65">
        <v>7499.96422</v>
      </c>
      <c r="H62" s="65">
        <f>H60*0.302</f>
        <v>7110.022679832799</v>
      </c>
      <c r="I62" s="65">
        <f>I60*0.302*0.95</f>
        <v>7051.423591812199</v>
      </c>
      <c r="J62" s="65">
        <v>1374.23667</v>
      </c>
      <c r="K62" s="164">
        <v>8874.20089</v>
      </c>
      <c r="L62" s="189"/>
      <c r="M62" s="59">
        <f>86.79195+43.3399</f>
        <v>130.13185</v>
      </c>
      <c r="N62" s="65">
        <v>9806.81</v>
      </c>
      <c r="O62" s="65">
        <f>N62*0.8</f>
        <v>7845.448</v>
      </c>
      <c r="P62" s="374">
        <f t="shared" si="20"/>
        <v>7845.448</v>
      </c>
      <c r="Q62" s="375">
        <f t="shared" si="20"/>
        <v>7845.448</v>
      </c>
    </row>
    <row r="63" spans="1:17" ht="16.5" customHeight="1">
      <c r="A63" s="271" t="s">
        <v>80</v>
      </c>
      <c r="B63" s="99" t="s">
        <v>134</v>
      </c>
      <c r="C63" s="53" t="s">
        <v>130</v>
      </c>
      <c r="D63" s="53" t="s">
        <v>171</v>
      </c>
      <c r="E63" s="54" t="s">
        <v>152</v>
      </c>
      <c r="F63" s="55" t="s">
        <v>77</v>
      </c>
      <c r="G63" s="65">
        <f aca="true" t="shared" si="21" ref="G63:N63">G64+G65+G66+G67+G68+G69+G73+G74+G70</f>
        <v>9094.681279999999</v>
      </c>
      <c r="H63" s="65">
        <f t="shared" si="21"/>
        <v>7118.536880000001</v>
      </c>
      <c r="I63" s="65">
        <f t="shared" si="21"/>
        <v>7858.8275</v>
      </c>
      <c r="J63" s="65">
        <f t="shared" si="21"/>
        <v>2978.13999</v>
      </c>
      <c r="K63" s="164">
        <f t="shared" si="21"/>
        <v>12072.82127</v>
      </c>
      <c r="L63" s="164">
        <f t="shared" si="21"/>
        <v>-200</v>
      </c>
      <c r="M63" s="164">
        <f t="shared" si="21"/>
        <v>728.747</v>
      </c>
      <c r="N63" s="164">
        <f t="shared" si="21"/>
        <v>9432.378</v>
      </c>
      <c r="O63" s="65">
        <f>O64+O65+O66+O67+O68+O69+O73+O74+O70</f>
        <v>7520.902399999999</v>
      </c>
      <c r="P63" s="374">
        <f>P64+P65+P66+P67+P68+P69+P73+P74+P70</f>
        <v>7520.902399999999</v>
      </c>
      <c r="Q63" s="375">
        <f>P63</f>
        <v>7520.902399999999</v>
      </c>
    </row>
    <row r="64" spans="1:17" ht="15.75" customHeight="1" hidden="1">
      <c r="A64" s="277"/>
      <c r="B64" s="99"/>
      <c r="C64" s="53"/>
      <c r="D64" s="53"/>
      <c r="E64" s="54"/>
      <c r="F64" s="55" t="s">
        <v>164</v>
      </c>
      <c r="G64" s="65">
        <v>567.475</v>
      </c>
      <c r="H64" s="65">
        <f>598.119*0.91</f>
        <v>544.2882900000001</v>
      </c>
      <c r="I64" s="65">
        <f>629.221*0.95</f>
        <v>597.75995</v>
      </c>
      <c r="J64" s="65">
        <v>25.355</v>
      </c>
      <c r="K64" s="164">
        <f>G64+J64</f>
        <v>592.83</v>
      </c>
      <c r="L64" s="189"/>
      <c r="M64" s="59">
        <v>52</v>
      </c>
      <c r="N64" s="254">
        <v>625.436</v>
      </c>
      <c r="O64" s="255">
        <f aca="true" t="shared" si="22" ref="O64:O69">N64*0.8</f>
        <v>500.34880000000004</v>
      </c>
      <c r="P64" s="384">
        <f>O64</f>
        <v>500.34880000000004</v>
      </c>
      <c r="Q64" s="375">
        <f aca="true" t="shared" si="23" ref="Q64:Q70">P64</f>
        <v>500.34880000000004</v>
      </c>
    </row>
    <row r="65" spans="1:17" ht="12.75" hidden="1">
      <c r="A65" s="277"/>
      <c r="B65" s="99"/>
      <c r="C65" s="53"/>
      <c r="D65" s="53"/>
      <c r="E65" s="54"/>
      <c r="F65" s="55" t="s">
        <v>165</v>
      </c>
      <c r="G65" s="65">
        <v>12.2</v>
      </c>
      <c r="H65" s="65">
        <f>10.54*0.91</f>
        <v>9.5914</v>
      </c>
      <c r="I65" s="65">
        <f>11.088*0.95</f>
        <v>10.533599999999998</v>
      </c>
      <c r="J65" s="65"/>
      <c r="K65" s="164">
        <f aca="true" t="shared" si="24" ref="K65:K71">G65+J65</f>
        <v>12.2</v>
      </c>
      <c r="L65" s="189"/>
      <c r="M65" s="59"/>
      <c r="N65" s="254">
        <f>K65+L65+M65</f>
        <v>12.2</v>
      </c>
      <c r="O65" s="255">
        <f t="shared" si="22"/>
        <v>9.76</v>
      </c>
      <c r="P65" s="384">
        <f aca="true" t="shared" si="25" ref="P65:P70">O65</f>
        <v>9.76</v>
      </c>
      <c r="Q65" s="375">
        <f t="shared" si="23"/>
        <v>9.76</v>
      </c>
    </row>
    <row r="66" spans="1:17" ht="12.75" hidden="1">
      <c r="A66" s="277"/>
      <c r="B66" s="99"/>
      <c r="C66" s="53"/>
      <c r="D66" s="53"/>
      <c r="E66" s="54"/>
      <c r="F66" s="55" t="s">
        <v>175</v>
      </c>
      <c r="G66" s="65">
        <v>777.45</v>
      </c>
      <c r="H66" s="65">
        <f>857.843*0.91</f>
        <v>780.63713</v>
      </c>
      <c r="I66" s="65">
        <f>953.793*0.95</f>
        <v>906.10335</v>
      </c>
      <c r="J66" s="65">
        <v>-32.87</v>
      </c>
      <c r="K66" s="164">
        <f t="shared" si="24"/>
        <v>744.58</v>
      </c>
      <c r="L66" s="189"/>
      <c r="M66" s="59"/>
      <c r="N66" s="254">
        <v>835.208</v>
      </c>
      <c r="O66" s="255">
        <f t="shared" si="22"/>
        <v>668.1664000000001</v>
      </c>
      <c r="P66" s="384">
        <f t="shared" si="25"/>
        <v>668.1664000000001</v>
      </c>
      <c r="Q66" s="375">
        <f t="shared" si="23"/>
        <v>668.1664000000001</v>
      </c>
    </row>
    <row r="67" spans="1:17" ht="12.75" hidden="1">
      <c r="A67" s="277"/>
      <c r="B67" s="99"/>
      <c r="C67" s="53"/>
      <c r="D67" s="53"/>
      <c r="E67" s="54"/>
      <c r="F67" s="55" t="s">
        <v>176</v>
      </c>
      <c r="G67" s="65">
        <v>916.5277</v>
      </c>
      <c r="H67" s="65">
        <f>761.869*0.91</f>
        <v>693.30079</v>
      </c>
      <c r="I67" s="65">
        <f>799.2*0.95</f>
        <v>759.24</v>
      </c>
      <c r="J67" s="65">
        <v>-157.74758</v>
      </c>
      <c r="K67" s="164">
        <f t="shared" si="24"/>
        <v>758.78012</v>
      </c>
      <c r="L67" s="189"/>
      <c r="M67" s="59"/>
      <c r="N67" s="254">
        <v>815.56</v>
      </c>
      <c r="O67" s="255">
        <f t="shared" si="22"/>
        <v>652.448</v>
      </c>
      <c r="P67" s="384">
        <f t="shared" si="25"/>
        <v>652.448</v>
      </c>
      <c r="Q67" s="375">
        <f t="shared" si="23"/>
        <v>652.448</v>
      </c>
    </row>
    <row r="68" spans="1:18" ht="12.75" hidden="1">
      <c r="A68" s="277"/>
      <c r="B68" s="99"/>
      <c r="C68" s="53"/>
      <c r="D68" s="53"/>
      <c r="E68" s="54"/>
      <c r="F68" s="55" t="s">
        <v>166</v>
      </c>
      <c r="G68" s="65">
        <v>550.891</v>
      </c>
      <c r="H68" s="65">
        <f>475.934*0.91</f>
        <v>433.09994000000006</v>
      </c>
      <c r="I68" s="65">
        <f>500.683*0.95</f>
        <v>475.64885</v>
      </c>
      <c r="J68" s="65">
        <v>479.67488</v>
      </c>
      <c r="K68" s="164">
        <f t="shared" si="24"/>
        <v>1030.5658799999999</v>
      </c>
      <c r="L68" s="189"/>
      <c r="M68" s="59">
        <v>42</v>
      </c>
      <c r="N68" s="254">
        <f>2820.814-1100</f>
        <v>1720.8139999999999</v>
      </c>
      <c r="O68" s="255">
        <f t="shared" si="22"/>
        <v>1376.6512</v>
      </c>
      <c r="P68" s="384">
        <f t="shared" si="25"/>
        <v>1376.6512</v>
      </c>
      <c r="Q68" s="375">
        <f t="shared" si="23"/>
        <v>1376.6512</v>
      </c>
      <c r="R68" s="4" t="s">
        <v>391</v>
      </c>
    </row>
    <row r="69" spans="1:17" ht="12.75" hidden="1">
      <c r="A69" s="277" t="s">
        <v>392</v>
      </c>
      <c r="B69" s="99"/>
      <c r="C69" s="53"/>
      <c r="D69" s="53"/>
      <c r="E69" s="54"/>
      <c r="F69" s="55" t="s">
        <v>167</v>
      </c>
      <c r="G69" s="65">
        <v>3920.59088</v>
      </c>
      <c r="H69" s="65">
        <f>3132.5*0.91</f>
        <v>2850.5750000000003</v>
      </c>
      <c r="I69" s="65">
        <f>3295.4*0.95</f>
        <v>3130.63</v>
      </c>
      <c r="J69" s="65">
        <v>1014.82485</v>
      </c>
      <c r="K69" s="164">
        <f t="shared" si="24"/>
        <v>4935.415730000001</v>
      </c>
      <c r="L69" s="189">
        <v>-200</v>
      </c>
      <c r="M69" s="59">
        <f>200+9+237</f>
        <v>446</v>
      </c>
      <c r="N69" s="254">
        <f>2396.631-480</f>
        <v>1916.6309999999999</v>
      </c>
      <c r="O69" s="255">
        <f t="shared" si="22"/>
        <v>1533.3048</v>
      </c>
      <c r="P69" s="384">
        <f t="shared" si="25"/>
        <v>1533.3048</v>
      </c>
      <c r="Q69" s="375">
        <f t="shared" si="23"/>
        <v>1533.3048</v>
      </c>
    </row>
    <row r="70" spans="1:17" ht="12.75" hidden="1">
      <c r="A70" s="277"/>
      <c r="B70" s="99"/>
      <c r="C70" s="53"/>
      <c r="D70" s="53"/>
      <c r="E70" s="54"/>
      <c r="F70" s="55" t="s">
        <v>168</v>
      </c>
      <c r="G70" s="65">
        <v>508.50554</v>
      </c>
      <c r="H70" s="65"/>
      <c r="I70" s="65"/>
      <c r="J70" s="65"/>
      <c r="K70" s="164">
        <f t="shared" si="24"/>
        <v>508.50554</v>
      </c>
      <c r="L70" s="189">
        <v>-100</v>
      </c>
      <c r="M70" s="59">
        <v>70</v>
      </c>
      <c r="N70" s="254">
        <v>732.384</v>
      </c>
      <c r="O70" s="255">
        <f>N70*0.8-25</f>
        <v>560.9072</v>
      </c>
      <c r="P70" s="384">
        <f t="shared" si="25"/>
        <v>560.9072</v>
      </c>
      <c r="Q70" s="375">
        <f t="shared" si="23"/>
        <v>560.9072</v>
      </c>
    </row>
    <row r="71" spans="1:17" ht="15.75" customHeight="1" hidden="1">
      <c r="A71" s="277"/>
      <c r="B71" s="99"/>
      <c r="C71" s="53"/>
      <c r="D71" s="53"/>
      <c r="E71" s="54"/>
      <c r="F71" s="55" t="s">
        <v>168</v>
      </c>
      <c r="G71" s="65">
        <v>627.0048</v>
      </c>
      <c r="H71" s="65">
        <f>687.093*0.91</f>
        <v>625.25463</v>
      </c>
      <c r="I71" s="65">
        <f>720.76*0.95</f>
        <v>684.722</v>
      </c>
      <c r="J71" s="65">
        <f>-587.0048-14.5</f>
        <v>-601.5048</v>
      </c>
      <c r="K71" s="164">
        <f t="shared" si="24"/>
        <v>25.5</v>
      </c>
      <c r="L71" s="189"/>
      <c r="M71" s="59"/>
      <c r="N71" s="254"/>
      <c r="O71" s="255">
        <f>L71+M71+N71+25</f>
        <v>25</v>
      </c>
      <c r="P71" s="384">
        <f>M71+N71+O71</f>
        <v>25</v>
      </c>
      <c r="Q71" s="385">
        <f>N71+O71+P71</f>
        <v>50</v>
      </c>
    </row>
    <row r="72" spans="1:17" ht="16.5" customHeight="1" thickBot="1">
      <c r="A72" s="278" t="s">
        <v>81</v>
      </c>
      <c r="B72" s="139" t="s">
        <v>134</v>
      </c>
      <c r="C72" s="87" t="s">
        <v>130</v>
      </c>
      <c r="D72" s="87" t="s">
        <v>171</v>
      </c>
      <c r="E72" s="90" t="s">
        <v>152</v>
      </c>
      <c r="F72" s="88" t="s">
        <v>78</v>
      </c>
      <c r="G72" s="70">
        <f aca="true" t="shared" si="26" ref="G72:P72">G71</f>
        <v>627.0048</v>
      </c>
      <c r="H72" s="70">
        <f t="shared" si="26"/>
        <v>625.25463</v>
      </c>
      <c r="I72" s="70">
        <f t="shared" si="26"/>
        <v>684.722</v>
      </c>
      <c r="J72" s="70">
        <f t="shared" si="26"/>
        <v>-601.5048</v>
      </c>
      <c r="K72" s="177">
        <f t="shared" si="26"/>
        <v>25.5</v>
      </c>
      <c r="L72" s="177">
        <f t="shared" si="26"/>
        <v>0</v>
      </c>
      <c r="M72" s="177">
        <f t="shared" si="26"/>
        <v>0</v>
      </c>
      <c r="N72" s="177">
        <f t="shared" si="26"/>
        <v>0</v>
      </c>
      <c r="O72" s="70">
        <f t="shared" si="26"/>
        <v>25</v>
      </c>
      <c r="P72" s="376">
        <f t="shared" si="26"/>
        <v>25</v>
      </c>
      <c r="Q72" s="377">
        <v>25</v>
      </c>
    </row>
    <row r="73" spans="1:17" ht="16.5" customHeight="1" hidden="1">
      <c r="A73" s="276"/>
      <c r="B73" s="73"/>
      <c r="C73" s="74"/>
      <c r="D73" s="74"/>
      <c r="E73" s="79"/>
      <c r="F73" s="75" t="s">
        <v>169</v>
      </c>
      <c r="G73" s="76">
        <v>135.78356</v>
      </c>
      <c r="H73" s="76">
        <f>117.085*0.91</f>
        <v>106.54735</v>
      </c>
      <c r="I73" s="76">
        <f>122.822*0.95</f>
        <v>116.6809</v>
      </c>
      <c r="J73" s="76">
        <v>1224.99044</v>
      </c>
      <c r="K73" s="166">
        <f>G73+J73</f>
        <v>1360.7740000000001</v>
      </c>
      <c r="L73" s="199">
        <v>100</v>
      </c>
      <c r="M73" s="98">
        <v>42</v>
      </c>
      <c r="N73" s="76">
        <v>531.129</v>
      </c>
      <c r="O73" s="76">
        <f>N73*0.8</f>
        <v>424.9032</v>
      </c>
      <c r="P73" s="382">
        <f>O73</f>
        <v>424.9032</v>
      </c>
      <c r="Q73" s="383">
        <f>P73</f>
        <v>424.9032</v>
      </c>
    </row>
    <row r="74" spans="1:17" ht="18.75" customHeight="1" hidden="1" thickBot="1">
      <c r="A74" s="278"/>
      <c r="B74" s="86"/>
      <c r="C74" s="87"/>
      <c r="D74" s="87"/>
      <c r="E74" s="90"/>
      <c r="F74" s="88" t="s">
        <v>170</v>
      </c>
      <c r="G74" s="70">
        <v>1705.2576</v>
      </c>
      <c r="H74" s="70">
        <f>1868.678*0.91</f>
        <v>1700.4969800000001</v>
      </c>
      <c r="I74" s="70">
        <f>1960.243*0.95</f>
        <v>1862.23085</v>
      </c>
      <c r="J74" s="70">
        <v>423.9124</v>
      </c>
      <c r="K74" s="163">
        <f>G74+J74</f>
        <v>2129.17</v>
      </c>
      <c r="L74" s="189"/>
      <c r="M74" s="59">
        <v>76.747</v>
      </c>
      <c r="N74" s="65">
        <v>2243.016</v>
      </c>
      <c r="O74" s="65">
        <f>N74*0.8</f>
        <v>1794.4128</v>
      </c>
      <c r="P74" s="374">
        <f>O74</f>
        <v>1794.4128</v>
      </c>
      <c r="Q74" s="375">
        <f>P74</f>
        <v>1794.4128</v>
      </c>
    </row>
    <row r="75" spans="1:17" ht="25.5">
      <c r="A75" s="331" t="s">
        <v>572</v>
      </c>
      <c r="B75" s="73" t="s">
        <v>134</v>
      </c>
      <c r="C75" s="81" t="s">
        <v>130</v>
      </c>
      <c r="D75" s="81" t="s">
        <v>171</v>
      </c>
      <c r="E75" s="82" t="s">
        <v>571</v>
      </c>
      <c r="F75" s="77"/>
      <c r="G75" s="64">
        <f>G79</f>
        <v>825</v>
      </c>
      <c r="H75" s="98"/>
      <c r="I75" s="98"/>
      <c r="J75" s="64">
        <f aca="true" t="shared" si="27" ref="J75:N78">J79</f>
        <v>825</v>
      </c>
      <c r="K75" s="176">
        <f t="shared" si="27"/>
        <v>1650</v>
      </c>
      <c r="L75" s="176">
        <f t="shared" si="27"/>
        <v>0</v>
      </c>
      <c r="M75" s="176">
        <f t="shared" si="27"/>
        <v>0</v>
      </c>
      <c r="N75" s="176">
        <f t="shared" si="27"/>
        <v>4125</v>
      </c>
      <c r="O75" s="64">
        <f>O76</f>
        <v>4125</v>
      </c>
      <c r="P75" s="380">
        <f aca="true" t="shared" si="28" ref="P75:Q78">P76</f>
        <v>4125</v>
      </c>
      <c r="Q75" s="381">
        <f t="shared" si="28"/>
        <v>4125</v>
      </c>
    </row>
    <row r="76" spans="1:17" ht="51">
      <c r="A76" s="331" t="s">
        <v>574</v>
      </c>
      <c r="B76" s="73" t="s">
        <v>134</v>
      </c>
      <c r="C76" s="81" t="s">
        <v>130</v>
      </c>
      <c r="D76" s="81" t="s">
        <v>171</v>
      </c>
      <c r="E76" s="82" t="s">
        <v>573</v>
      </c>
      <c r="F76" s="77"/>
      <c r="G76" s="64">
        <f>G80</f>
        <v>7.52</v>
      </c>
      <c r="H76" s="98"/>
      <c r="I76" s="98"/>
      <c r="J76" s="64">
        <f t="shared" si="27"/>
        <v>0</v>
      </c>
      <c r="K76" s="176">
        <f t="shared" si="27"/>
        <v>0</v>
      </c>
      <c r="L76" s="176">
        <f t="shared" si="27"/>
        <v>0</v>
      </c>
      <c r="M76" s="176">
        <f t="shared" si="27"/>
        <v>0</v>
      </c>
      <c r="N76" s="176">
        <f t="shared" si="27"/>
        <v>0</v>
      </c>
      <c r="O76" s="64">
        <f>O77</f>
        <v>4125</v>
      </c>
      <c r="P76" s="380">
        <f t="shared" si="28"/>
        <v>4125</v>
      </c>
      <c r="Q76" s="381">
        <f t="shared" si="28"/>
        <v>4125</v>
      </c>
    </row>
    <row r="77" spans="1:17" ht="63.75">
      <c r="A77" s="331" t="s">
        <v>576</v>
      </c>
      <c r="B77" s="73" t="s">
        <v>134</v>
      </c>
      <c r="C77" s="81" t="s">
        <v>130</v>
      </c>
      <c r="D77" s="81" t="s">
        <v>171</v>
      </c>
      <c r="E77" s="82" t="s">
        <v>575</v>
      </c>
      <c r="F77" s="77"/>
      <c r="G77" s="64">
        <f>G81</f>
        <v>7.52</v>
      </c>
      <c r="H77" s="98"/>
      <c r="I77" s="98"/>
      <c r="J77" s="64">
        <f t="shared" si="27"/>
        <v>0</v>
      </c>
      <c r="K77" s="176">
        <f t="shared" si="27"/>
        <v>0</v>
      </c>
      <c r="L77" s="176">
        <f t="shared" si="27"/>
        <v>0</v>
      </c>
      <c r="M77" s="176">
        <f t="shared" si="27"/>
        <v>0</v>
      </c>
      <c r="N77" s="176">
        <f t="shared" si="27"/>
        <v>0</v>
      </c>
      <c r="O77" s="64">
        <f>O78</f>
        <v>4125</v>
      </c>
      <c r="P77" s="380">
        <f t="shared" si="28"/>
        <v>4125</v>
      </c>
      <c r="Q77" s="381">
        <f t="shared" si="28"/>
        <v>4125</v>
      </c>
    </row>
    <row r="78" spans="1:17" ht="142.5" customHeight="1">
      <c r="A78" s="331" t="s">
        <v>578</v>
      </c>
      <c r="B78" s="73" t="s">
        <v>134</v>
      </c>
      <c r="C78" s="81" t="s">
        <v>130</v>
      </c>
      <c r="D78" s="81" t="s">
        <v>171</v>
      </c>
      <c r="E78" s="82" t="s">
        <v>577</v>
      </c>
      <c r="F78" s="77"/>
      <c r="G78" s="64">
        <f>G82</f>
        <v>7.52</v>
      </c>
      <c r="H78" s="98"/>
      <c r="I78" s="98"/>
      <c r="J78" s="64">
        <f t="shared" si="27"/>
        <v>0</v>
      </c>
      <c r="K78" s="176">
        <f t="shared" si="27"/>
        <v>0</v>
      </c>
      <c r="L78" s="176">
        <f t="shared" si="27"/>
        <v>0</v>
      </c>
      <c r="M78" s="176">
        <f t="shared" si="27"/>
        <v>0</v>
      </c>
      <c r="N78" s="176">
        <f t="shared" si="27"/>
        <v>0</v>
      </c>
      <c r="O78" s="64">
        <f>O79</f>
        <v>4125</v>
      </c>
      <c r="P78" s="380">
        <f t="shared" si="28"/>
        <v>4125</v>
      </c>
      <c r="Q78" s="381">
        <f t="shared" si="28"/>
        <v>4125</v>
      </c>
    </row>
    <row r="79" spans="1:17" ht="15" customHeight="1" thickBot="1">
      <c r="A79" s="278" t="s">
        <v>80</v>
      </c>
      <c r="B79" s="139" t="s">
        <v>134</v>
      </c>
      <c r="C79" s="87" t="s">
        <v>130</v>
      </c>
      <c r="D79" s="87" t="s">
        <v>171</v>
      </c>
      <c r="E79" s="90" t="s">
        <v>577</v>
      </c>
      <c r="F79" s="88" t="s">
        <v>77</v>
      </c>
      <c r="G79" s="70">
        <v>825</v>
      </c>
      <c r="H79" s="63"/>
      <c r="I79" s="63"/>
      <c r="J79" s="70">
        <v>825</v>
      </c>
      <c r="K79" s="177">
        <f>G79+J79</f>
        <v>1650</v>
      </c>
      <c r="L79" s="197"/>
      <c r="M79" s="63"/>
      <c r="N79" s="70">
        <v>4125</v>
      </c>
      <c r="O79" s="70">
        <v>4125</v>
      </c>
      <c r="P79" s="376">
        <v>4125</v>
      </c>
      <c r="Q79" s="377">
        <v>4125</v>
      </c>
    </row>
    <row r="80" spans="1:17" ht="19.5" customHeight="1" thickBot="1">
      <c r="A80" s="268" t="s">
        <v>396</v>
      </c>
      <c r="B80" s="21" t="s">
        <v>134</v>
      </c>
      <c r="C80" s="22" t="s">
        <v>130</v>
      </c>
      <c r="D80" s="22" t="s">
        <v>180</v>
      </c>
      <c r="E80" s="23"/>
      <c r="F80" s="24"/>
      <c r="G80" s="332">
        <v>7.52</v>
      </c>
      <c r="H80" s="333">
        <v>7.52</v>
      </c>
      <c r="I80" s="333">
        <v>0</v>
      </c>
      <c r="J80" s="333">
        <v>0</v>
      </c>
      <c r="K80" s="333"/>
      <c r="L80" s="333"/>
      <c r="M80" s="333"/>
      <c r="N80" s="333"/>
      <c r="O80" s="324">
        <f>O81</f>
        <v>0</v>
      </c>
      <c r="P80" s="378">
        <f aca="true" t="shared" si="29" ref="P80:Q84">P81</f>
        <v>0</v>
      </c>
      <c r="Q80" s="379">
        <f t="shared" si="29"/>
        <v>7.7</v>
      </c>
    </row>
    <row r="81" spans="1:17" ht="38.25">
      <c r="A81" s="275" t="s">
        <v>562</v>
      </c>
      <c r="B81" s="73" t="s">
        <v>134</v>
      </c>
      <c r="C81" s="81" t="s">
        <v>130</v>
      </c>
      <c r="D81" s="81" t="s">
        <v>180</v>
      </c>
      <c r="E81" s="82" t="s">
        <v>561</v>
      </c>
      <c r="F81" s="77"/>
      <c r="G81" s="334">
        <v>7.52</v>
      </c>
      <c r="H81" s="335">
        <v>7.52</v>
      </c>
      <c r="I81" s="335">
        <v>0</v>
      </c>
      <c r="J81" s="335">
        <v>0</v>
      </c>
      <c r="K81" s="335"/>
      <c r="L81" s="335"/>
      <c r="M81" s="335"/>
      <c r="N81" s="335"/>
      <c r="O81" s="325">
        <f>O82</f>
        <v>0</v>
      </c>
      <c r="P81" s="380">
        <f t="shared" si="29"/>
        <v>0</v>
      </c>
      <c r="Q81" s="381">
        <f t="shared" si="29"/>
        <v>7.7</v>
      </c>
    </row>
    <row r="82" spans="1:17" ht="38.25">
      <c r="A82" s="270" t="s">
        <v>579</v>
      </c>
      <c r="B82" s="48" t="s">
        <v>134</v>
      </c>
      <c r="C82" s="49" t="s">
        <v>130</v>
      </c>
      <c r="D82" s="49" t="s">
        <v>180</v>
      </c>
      <c r="E82" s="50" t="s">
        <v>580</v>
      </c>
      <c r="F82" s="51"/>
      <c r="G82" s="248">
        <v>7.52</v>
      </c>
      <c r="H82" s="159">
        <v>7.52</v>
      </c>
      <c r="I82" s="159">
        <v>0</v>
      </c>
      <c r="J82" s="159">
        <v>0</v>
      </c>
      <c r="K82" s="159"/>
      <c r="L82" s="159"/>
      <c r="M82" s="159"/>
      <c r="N82" s="159"/>
      <c r="O82" s="201">
        <f>O83</f>
        <v>0</v>
      </c>
      <c r="P82" s="370">
        <f t="shared" si="29"/>
        <v>0</v>
      </c>
      <c r="Q82" s="371">
        <f t="shared" si="29"/>
        <v>7.7</v>
      </c>
    </row>
    <row r="83" spans="1:17" ht="51">
      <c r="A83" s="270" t="s">
        <v>582</v>
      </c>
      <c r="B83" s="48" t="s">
        <v>134</v>
      </c>
      <c r="C83" s="49" t="s">
        <v>130</v>
      </c>
      <c r="D83" s="49" t="s">
        <v>180</v>
      </c>
      <c r="E83" s="50" t="s">
        <v>581</v>
      </c>
      <c r="F83" s="51"/>
      <c r="G83" s="248">
        <v>7.52</v>
      </c>
      <c r="H83" s="159">
        <v>7.52</v>
      </c>
      <c r="I83" s="159">
        <v>0</v>
      </c>
      <c r="J83" s="159">
        <v>0</v>
      </c>
      <c r="K83" s="159"/>
      <c r="L83" s="159"/>
      <c r="M83" s="159"/>
      <c r="N83" s="159"/>
      <c r="O83" s="201">
        <f>O84</f>
        <v>0</v>
      </c>
      <c r="P83" s="370">
        <f t="shared" si="29"/>
        <v>0</v>
      </c>
      <c r="Q83" s="371">
        <f t="shared" si="29"/>
        <v>7.7</v>
      </c>
    </row>
    <row r="84" spans="1:17" ht="51">
      <c r="A84" s="270" t="s">
        <v>583</v>
      </c>
      <c r="B84" s="48" t="s">
        <v>134</v>
      </c>
      <c r="C84" s="49" t="s">
        <v>130</v>
      </c>
      <c r="D84" s="49" t="s">
        <v>180</v>
      </c>
      <c r="E84" s="50" t="s">
        <v>584</v>
      </c>
      <c r="F84" s="51"/>
      <c r="G84" s="248">
        <v>7.52</v>
      </c>
      <c r="H84" s="159">
        <v>7.52</v>
      </c>
      <c r="I84" s="159">
        <v>0</v>
      </c>
      <c r="J84" s="159">
        <v>0</v>
      </c>
      <c r="K84" s="159"/>
      <c r="L84" s="159"/>
      <c r="M84" s="159"/>
      <c r="N84" s="159"/>
      <c r="O84" s="201">
        <f>O85</f>
        <v>0</v>
      </c>
      <c r="P84" s="370">
        <f t="shared" si="29"/>
        <v>0</v>
      </c>
      <c r="Q84" s="371">
        <f t="shared" si="29"/>
        <v>7.7</v>
      </c>
    </row>
    <row r="85" spans="1:17" ht="15" customHeight="1" thickBot="1">
      <c r="A85" s="278" t="s">
        <v>397</v>
      </c>
      <c r="B85" s="139" t="s">
        <v>134</v>
      </c>
      <c r="C85" s="87" t="s">
        <v>130</v>
      </c>
      <c r="D85" s="87" t="s">
        <v>180</v>
      </c>
      <c r="E85" s="90" t="s">
        <v>584</v>
      </c>
      <c r="F85" s="88" t="s">
        <v>398</v>
      </c>
      <c r="G85" s="336">
        <v>7.52</v>
      </c>
      <c r="H85" s="337">
        <v>7.52</v>
      </c>
      <c r="I85" s="337">
        <v>0</v>
      </c>
      <c r="J85" s="337">
        <v>0</v>
      </c>
      <c r="K85" s="337"/>
      <c r="L85" s="337"/>
      <c r="M85" s="337"/>
      <c r="N85" s="337"/>
      <c r="O85" s="323">
        <v>0</v>
      </c>
      <c r="P85" s="376">
        <v>0</v>
      </c>
      <c r="Q85" s="377">
        <f>Q86</f>
        <v>7.7</v>
      </c>
    </row>
    <row r="86" spans="1:17" ht="15" customHeight="1" hidden="1">
      <c r="A86" s="276"/>
      <c r="B86" s="105"/>
      <c r="C86" s="74"/>
      <c r="D86" s="74"/>
      <c r="E86" s="79"/>
      <c r="F86" s="75" t="s">
        <v>164</v>
      </c>
      <c r="G86" s="249">
        <v>6.112</v>
      </c>
      <c r="H86" s="220">
        <v>6.112</v>
      </c>
      <c r="I86" s="220">
        <v>0</v>
      </c>
      <c r="J86" s="220"/>
      <c r="K86" s="220"/>
      <c r="L86" s="220"/>
      <c r="M86" s="220"/>
      <c r="N86" s="220"/>
      <c r="O86" s="326"/>
      <c r="P86" s="382"/>
      <c r="Q86" s="383">
        <v>7.7</v>
      </c>
    </row>
    <row r="87" spans="1:17" ht="15" customHeight="1" hidden="1">
      <c r="A87" s="277"/>
      <c r="B87" s="99"/>
      <c r="C87" s="53"/>
      <c r="D87" s="53"/>
      <c r="E87" s="54"/>
      <c r="F87" s="55" t="s">
        <v>170</v>
      </c>
      <c r="G87" s="250">
        <v>1.408</v>
      </c>
      <c r="H87" s="104">
        <v>1.408</v>
      </c>
      <c r="I87" s="104">
        <v>0</v>
      </c>
      <c r="J87" s="104"/>
      <c r="K87" s="104"/>
      <c r="L87" s="104"/>
      <c r="M87" s="104"/>
      <c r="N87" s="104"/>
      <c r="O87" s="202"/>
      <c r="P87" s="374"/>
      <c r="Q87" s="375"/>
    </row>
    <row r="88" spans="1:17" s="1" customFormat="1" ht="43.5" thickBot="1">
      <c r="A88" s="280" t="s">
        <v>183</v>
      </c>
      <c r="B88" s="38" t="s">
        <v>133</v>
      </c>
      <c r="C88" s="39" t="s">
        <v>130</v>
      </c>
      <c r="D88" s="39" t="s">
        <v>184</v>
      </c>
      <c r="E88" s="208"/>
      <c r="F88" s="40"/>
      <c r="G88" s="209">
        <f aca="true" t="shared" si="30" ref="G88:N88">G89+G103</f>
        <v>13575.39347</v>
      </c>
      <c r="H88" s="210">
        <f t="shared" si="30"/>
        <v>12952.6608011164</v>
      </c>
      <c r="I88" s="210">
        <f t="shared" si="30"/>
        <v>13567.582216042545</v>
      </c>
      <c r="J88" s="209">
        <f t="shared" si="30"/>
        <v>929.18478</v>
      </c>
      <c r="K88" s="211">
        <f t="shared" si="30"/>
        <v>14504.57825</v>
      </c>
      <c r="L88" s="211">
        <f t="shared" si="30"/>
        <v>0</v>
      </c>
      <c r="M88" s="211">
        <f t="shared" si="30"/>
        <v>1002.66766</v>
      </c>
      <c r="N88" s="211">
        <f t="shared" si="30"/>
        <v>11849.79842</v>
      </c>
      <c r="O88" s="209">
        <f>O89+O103</f>
        <v>9479.838736</v>
      </c>
      <c r="P88" s="386">
        <f>P89+P103</f>
        <v>9479.838736</v>
      </c>
      <c r="Q88" s="387">
        <f>Q89+Q103</f>
        <v>9479.838736</v>
      </c>
    </row>
    <row r="89" spans="1:17" s="1" customFormat="1" ht="38.25">
      <c r="A89" s="275" t="s">
        <v>172</v>
      </c>
      <c r="B89" s="73" t="s">
        <v>185</v>
      </c>
      <c r="C89" s="81" t="s">
        <v>130</v>
      </c>
      <c r="D89" s="81" t="s">
        <v>184</v>
      </c>
      <c r="E89" s="82" t="s">
        <v>136</v>
      </c>
      <c r="F89" s="77"/>
      <c r="G89" s="64">
        <f aca="true" t="shared" si="31" ref="G89:Q89">G90</f>
        <v>11677.47347</v>
      </c>
      <c r="H89" s="37">
        <f t="shared" si="31"/>
        <v>11077.1508011164</v>
      </c>
      <c r="I89" s="37">
        <f t="shared" si="31"/>
        <v>11526.032216042546</v>
      </c>
      <c r="J89" s="64">
        <f t="shared" si="31"/>
        <v>904.49404</v>
      </c>
      <c r="K89" s="176">
        <f t="shared" si="31"/>
        <v>12581.96751</v>
      </c>
      <c r="L89" s="176">
        <f t="shared" si="31"/>
        <v>0</v>
      </c>
      <c r="M89" s="176">
        <f t="shared" si="31"/>
        <v>983.35862</v>
      </c>
      <c r="N89" s="176">
        <f t="shared" si="31"/>
        <v>11132.41201</v>
      </c>
      <c r="O89" s="64">
        <f t="shared" si="31"/>
        <v>8905.929608</v>
      </c>
      <c r="P89" s="380">
        <f t="shared" si="31"/>
        <v>8905.929608</v>
      </c>
      <c r="Q89" s="381">
        <f t="shared" si="31"/>
        <v>8905.929608</v>
      </c>
    </row>
    <row r="90" spans="1:17" ht="16.5" customHeight="1">
      <c r="A90" s="270" t="s">
        <v>151</v>
      </c>
      <c r="B90" s="48" t="s">
        <v>185</v>
      </c>
      <c r="C90" s="49" t="s">
        <v>130</v>
      </c>
      <c r="D90" s="49" t="s">
        <v>184</v>
      </c>
      <c r="E90" s="50" t="s">
        <v>152</v>
      </c>
      <c r="F90" s="51"/>
      <c r="G90" s="71">
        <f aca="true" t="shared" si="32" ref="G90:N90">G91+G94+G100</f>
        <v>11677.47347</v>
      </c>
      <c r="H90" s="71">
        <f t="shared" si="32"/>
        <v>11077.1508011164</v>
      </c>
      <c r="I90" s="71">
        <f t="shared" si="32"/>
        <v>11526.032216042546</v>
      </c>
      <c r="J90" s="71">
        <f t="shared" si="32"/>
        <v>904.49404</v>
      </c>
      <c r="K90" s="173">
        <f t="shared" si="32"/>
        <v>12581.96751</v>
      </c>
      <c r="L90" s="173">
        <f t="shared" si="32"/>
        <v>0</v>
      </c>
      <c r="M90" s="173">
        <f t="shared" si="32"/>
        <v>983.35862</v>
      </c>
      <c r="N90" s="173">
        <f t="shared" si="32"/>
        <v>11132.41201</v>
      </c>
      <c r="O90" s="71">
        <f>O91+O94+O100</f>
        <v>8905.929608</v>
      </c>
      <c r="P90" s="370">
        <f>P91+P94+P100</f>
        <v>8905.929608</v>
      </c>
      <c r="Q90" s="371">
        <f>Q91+Q94+Q100</f>
        <v>8905.929608</v>
      </c>
    </row>
    <row r="91" spans="1:17" ht="16.5" customHeight="1">
      <c r="A91" s="276" t="s">
        <v>79</v>
      </c>
      <c r="B91" s="99" t="s">
        <v>185</v>
      </c>
      <c r="C91" s="53" t="s">
        <v>130</v>
      </c>
      <c r="D91" s="53" t="s">
        <v>184</v>
      </c>
      <c r="E91" s="54" t="s">
        <v>152</v>
      </c>
      <c r="F91" s="75" t="s">
        <v>76</v>
      </c>
      <c r="G91" s="156">
        <f aca="true" t="shared" si="33" ref="G91:N91">G92+G93</f>
        <v>10839.5712</v>
      </c>
      <c r="H91" s="157">
        <f t="shared" si="33"/>
        <v>10275.0102</v>
      </c>
      <c r="I91" s="157">
        <f t="shared" si="33"/>
        <v>10726.658999999998</v>
      </c>
      <c r="J91" s="156">
        <f t="shared" si="33"/>
        <v>890.97382</v>
      </c>
      <c r="K91" s="174">
        <f t="shared" si="33"/>
        <v>11730.54502</v>
      </c>
      <c r="L91" s="174">
        <f t="shared" si="33"/>
        <v>-100</v>
      </c>
      <c r="M91" s="174">
        <f t="shared" si="33"/>
        <v>983.35862</v>
      </c>
      <c r="N91" s="174">
        <f t="shared" si="33"/>
        <v>10557.52469</v>
      </c>
      <c r="O91" s="156">
        <f>O92+O93</f>
        <v>8446.019752</v>
      </c>
      <c r="P91" s="372">
        <f>P92+P93</f>
        <v>8446.019752</v>
      </c>
      <c r="Q91" s="373">
        <f>Q92+Q93</f>
        <v>8446.019752</v>
      </c>
    </row>
    <row r="92" spans="1:20" ht="12.75" hidden="1">
      <c r="A92" s="272"/>
      <c r="B92" s="99"/>
      <c r="C92" s="53"/>
      <c r="D92" s="53"/>
      <c r="E92" s="54"/>
      <c r="F92" s="84" t="s">
        <v>146</v>
      </c>
      <c r="G92" s="65">
        <v>8327.58213</v>
      </c>
      <c r="H92" s="59">
        <f>8672.22*0.91</f>
        <v>7891.7202</v>
      </c>
      <c r="I92" s="59">
        <f>8672.22*0.95</f>
        <v>8238.608999999999</v>
      </c>
      <c r="J92" s="65">
        <f>1511.46467-800</f>
        <v>711.4646700000001</v>
      </c>
      <c r="K92" s="164">
        <v>9039.0468</v>
      </c>
      <c r="L92" s="189"/>
      <c r="M92" s="59">
        <f>641.6892+93.07106</f>
        <v>734.76026</v>
      </c>
      <c r="N92" s="65">
        <v>8108.69792</v>
      </c>
      <c r="O92" s="65">
        <f>N92*0.8</f>
        <v>6486.958336</v>
      </c>
      <c r="P92" s="374">
        <f>O92</f>
        <v>6486.958336</v>
      </c>
      <c r="Q92" s="375">
        <f>P92</f>
        <v>6486.958336</v>
      </c>
      <c r="R92" s="4" t="s">
        <v>390</v>
      </c>
      <c r="T92" s="4">
        <v>2602.93482</v>
      </c>
    </row>
    <row r="93" spans="1:20" ht="12.75" hidden="1">
      <c r="A93" s="270"/>
      <c r="B93" s="99"/>
      <c r="C93" s="53"/>
      <c r="D93" s="53"/>
      <c r="E93" s="54"/>
      <c r="F93" s="55" t="s">
        <v>148</v>
      </c>
      <c r="G93" s="65">
        <v>2511.98907</v>
      </c>
      <c r="H93" s="59">
        <f>2619*0.91</f>
        <v>2383.29</v>
      </c>
      <c r="I93" s="59">
        <f>2619*0.95</f>
        <v>2488.0499999999997</v>
      </c>
      <c r="J93" s="65">
        <f>400-220.49085</f>
        <v>179.50915</v>
      </c>
      <c r="K93" s="164">
        <v>2691.49822</v>
      </c>
      <c r="L93" s="189">
        <v>-100</v>
      </c>
      <c r="M93" s="59">
        <f>220.4909+28.10746</f>
        <v>248.59836</v>
      </c>
      <c r="N93" s="65">
        <v>2448.82677</v>
      </c>
      <c r="O93" s="65">
        <f>N93*0.8</f>
        <v>1959.0614160000002</v>
      </c>
      <c r="P93" s="374">
        <f>O93</f>
        <v>1959.0614160000002</v>
      </c>
      <c r="Q93" s="375">
        <f>P93</f>
        <v>1959.0614160000002</v>
      </c>
      <c r="T93" s="4">
        <v>786.08632</v>
      </c>
    </row>
    <row r="94" spans="1:17" ht="16.5" customHeight="1">
      <c r="A94" s="271" t="s">
        <v>80</v>
      </c>
      <c r="B94" s="99" t="s">
        <v>185</v>
      </c>
      <c r="C94" s="53" t="s">
        <v>130</v>
      </c>
      <c r="D94" s="53" t="s">
        <v>184</v>
      </c>
      <c r="E94" s="54" t="s">
        <v>152</v>
      </c>
      <c r="F94" s="55" t="s">
        <v>77</v>
      </c>
      <c r="G94" s="65">
        <f aca="true" t="shared" si="34" ref="G94:N94">G95+G96+G97+G98+G101+G102</f>
        <v>834.54227</v>
      </c>
      <c r="H94" s="59">
        <f t="shared" si="34"/>
        <v>798.9240059164001</v>
      </c>
      <c r="I94" s="59">
        <f t="shared" si="34"/>
        <v>796.1677180959884</v>
      </c>
      <c r="J94" s="65">
        <f t="shared" si="34"/>
        <v>13.52022</v>
      </c>
      <c r="K94" s="164">
        <f>K95+K96+K97+K98+K101+K102</f>
        <v>848.06249</v>
      </c>
      <c r="L94" s="164">
        <f t="shared" si="34"/>
        <v>100</v>
      </c>
      <c r="M94" s="164">
        <f t="shared" si="34"/>
        <v>0</v>
      </c>
      <c r="N94" s="164">
        <f t="shared" si="34"/>
        <v>572.88732</v>
      </c>
      <c r="O94" s="65">
        <f>O95+O96+O97+O98+O101+O102</f>
        <v>458.30985599999997</v>
      </c>
      <c r="P94" s="374">
        <f>P95+P96+P97+P98+P101+P102</f>
        <v>458.30985599999997</v>
      </c>
      <c r="Q94" s="375">
        <f>Q95+Q96+Q97+Q98+Q101+Q102</f>
        <v>458.30985599999997</v>
      </c>
    </row>
    <row r="95" spans="1:17" ht="14.25" customHeight="1" hidden="1">
      <c r="A95" s="272"/>
      <c r="B95" s="99"/>
      <c r="C95" s="53"/>
      <c r="D95" s="53"/>
      <c r="E95" s="54"/>
      <c r="F95" s="84" t="s">
        <v>164</v>
      </c>
      <c r="G95" s="65">
        <v>172.05163</v>
      </c>
      <c r="H95" s="59">
        <f aca="true" t="shared" si="35" ref="H95:H102">G95*1.052*0.91</f>
        <v>164.70846643160002</v>
      </c>
      <c r="I95" s="59">
        <f aca="true" t="shared" si="36" ref="I95:I102">H95*1.049*0.95</f>
        <v>164.14022222241098</v>
      </c>
      <c r="J95" s="65"/>
      <c r="K95" s="164">
        <v>152.05163</v>
      </c>
      <c r="L95" s="189"/>
      <c r="M95" s="59"/>
      <c r="N95" s="65">
        <v>272.73168</v>
      </c>
      <c r="O95" s="65">
        <f>N95*0.8</f>
        <v>218.185344</v>
      </c>
      <c r="P95" s="374">
        <f>O95</f>
        <v>218.185344</v>
      </c>
      <c r="Q95" s="375">
        <f>P95</f>
        <v>218.185344</v>
      </c>
    </row>
    <row r="96" spans="1:17" ht="12.75" hidden="1">
      <c r="A96" s="270"/>
      <c r="B96" s="99"/>
      <c r="C96" s="53"/>
      <c r="D96" s="53"/>
      <c r="E96" s="54"/>
      <c r="F96" s="55" t="s">
        <v>165</v>
      </c>
      <c r="G96" s="65">
        <v>3.9837</v>
      </c>
      <c r="H96" s="59">
        <f t="shared" si="35"/>
        <v>3.813675684</v>
      </c>
      <c r="I96" s="59">
        <f t="shared" si="36"/>
        <v>3.8005185028902</v>
      </c>
      <c r="J96" s="65">
        <v>0.0813</v>
      </c>
      <c r="K96" s="164">
        <v>4.065</v>
      </c>
      <c r="L96" s="189">
        <v>-4.065</v>
      </c>
      <c r="M96" s="59"/>
      <c r="N96" s="65">
        <v>3.9837</v>
      </c>
      <c r="O96" s="65">
        <f>N96*0.8</f>
        <v>3.18696</v>
      </c>
      <c r="P96" s="374">
        <f aca="true" t="shared" si="37" ref="P96:Q99">O96</f>
        <v>3.18696</v>
      </c>
      <c r="Q96" s="375">
        <f t="shared" si="37"/>
        <v>3.18696</v>
      </c>
    </row>
    <row r="97" spans="1:17" ht="12.75" hidden="1">
      <c r="A97" s="272"/>
      <c r="B97" s="99"/>
      <c r="C97" s="53"/>
      <c r="D97" s="53"/>
      <c r="E97" s="54"/>
      <c r="F97" s="84" t="s">
        <v>166</v>
      </c>
      <c r="G97" s="65">
        <v>23.1917</v>
      </c>
      <c r="H97" s="59">
        <f t="shared" si="35"/>
        <v>22.201878244</v>
      </c>
      <c r="I97" s="59">
        <f t="shared" si="36"/>
        <v>22.125281764058197</v>
      </c>
      <c r="J97" s="65">
        <v>0.4733</v>
      </c>
      <c r="K97" s="164">
        <v>93.665</v>
      </c>
      <c r="L97" s="189">
        <v>-10</v>
      </c>
      <c r="M97" s="59"/>
      <c r="N97" s="65">
        <v>23.665</v>
      </c>
      <c r="O97" s="65">
        <f>N97*0.8</f>
        <v>18.932</v>
      </c>
      <c r="P97" s="374">
        <f t="shared" si="37"/>
        <v>18.932</v>
      </c>
      <c r="Q97" s="375">
        <f t="shared" si="37"/>
        <v>18.932</v>
      </c>
    </row>
    <row r="98" spans="1:17" ht="12.75" hidden="1">
      <c r="A98" s="277" t="s">
        <v>393</v>
      </c>
      <c r="B98" s="99"/>
      <c r="C98" s="53"/>
      <c r="D98" s="53"/>
      <c r="E98" s="54"/>
      <c r="F98" s="55" t="s">
        <v>167</v>
      </c>
      <c r="G98" s="65">
        <v>209.28102</v>
      </c>
      <c r="H98" s="59">
        <f t="shared" si="35"/>
        <v>200.34890606640005</v>
      </c>
      <c r="I98" s="59">
        <f t="shared" si="36"/>
        <v>199.65770234047093</v>
      </c>
      <c r="J98" s="65">
        <v>4.27104</v>
      </c>
      <c r="K98" s="164">
        <v>213.55206</v>
      </c>
      <c r="L98" s="189"/>
      <c r="M98" s="59"/>
      <c r="N98" s="65">
        <f>237.79974-204</f>
        <v>33.799740000000014</v>
      </c>
      <c r="O98" s="65">
        <f>N98*0.8</f>
        <v>27.039792000000013</v>
      </c>
      <c r="P98" s="374">
        <f t="shared" si="37"/>
        <v>27.039792000000013</v>
      </c>
      <c r="Q98" s="375">
        <f t="shared" si="37"/>
        <v>27.039792000000013</v>
      </c>
    </row>
    <row r="99" spans="1:17" ht="15.75" customHeight="1" hidden="1">
      <c r="A99" s="272"/>
      <c r="B99" s="99"/>
      <c r="C99" s="53"/>
      <c r="D99" s="53"/>
      <c r="E99" s="54"/>
      <c r="F99" s="84" t="s">
        <v>168</v>
      </c>
      <c r="G99" s="65">
        <f>3.5*0.96</f>
        <v>3.36</v>
      </c>
      <c r="H99" s="59">
        <f t="shared" si="35"/>
        <v>3.2165952</v>
      </c>
      <c r="I99" s="59">
        <f t="shared" si="36"/>
        <v>3.2054979465599995</v>
      </c>
      <c r="J99" s="65"/>
      <c r="K99" s="164">
        <f>G99+J99</f>
        <v>3.36</v>
      </c>
      <c r="L99" s="189"/>
      <c r="M99" s="59"/>
      <c r="N99" s="65">
        <v>2</v>
      </c>
      <c r="O99" s="65">
        <f>N99*0.8</f>
        <v>1.6</v>
      </c>
      <c r="P99" s="374">
        <f t="shared" si="37"/>
        <v>1.6</v>
      </c>
      <c r="Q99" s="375">
        <f t="shared" si="37"/>
        <v>1.6</v>
      </c>
    </row>
    <row r="100" spans="1:17" ht="16.5" customHeight="1" thickBot="1">
      <c r="A100" s="277" t="s">
        <v>81</v>
      </c>
      <c r="B100" s="99" t="s">
        <v>185</v>
      </c>
      <c r="C100" s="53" t="s">
        <v>130</v>
      </c>
      <c r="D100" s="53" t="s">
        <v>184</v>
      </c>
      <c r="E100" s="54" t="s">
        <v>152</v>
      </c>
      <c r="F100" s="84" t="s">
        <v>78</v>
      </c>
      <c r="G100" s="65">
        <f aca="true" t="shared" si="38" ref="G100:Q100">G99</f>
        <v>3.36</v>
      </c>
      <c r="H100" s="59">
        <f t="shared" si="38"/>
        <v>3.2165952</v>
      </c>
      <c r="I100" s="59">
        <f t="shared" si="38"/>
        <v>3.2054979465599995</v>
      </c>
      <c r="J100" s="65">
        <f t="shared" si="38"/>
        <v>0</v>
      </c>
      <c r="K100" s="164">
        <f t="shared" si="38"/>
        <v>3.36</v>
      </c>
      <c r="L100" s="164">
        <f t="shared" si="38"/>
        <v>0</v>
      </c>
      <c r="M100" s="164">
        <f t="shared" si="38"/>
        <v>0</v>
      </c>
      <c r="N100" s="164">
        <f t="shared" si="38"/>
        <v>2</v>
      </c>
      <c r="O100" s="65">
        <f t="shared" si="38"/>
        <v>1.6</v>
      </c>
      <c r="P100" s="374">
        <f t="shared" si="38"/>
        <v>1.6</v>
      </c>
      <c r="Q100" s="375">
        <f t="shared" si="38"/>
        <v>1.6</v>
      </c>
    </row>
    <row r="101" spans="1:17" ht="15" customHeight="1" hidden="1">
      <c r="A101" s="277" t="s">
        <v>394</v>
      </c>
      <c r="B101" s="48"/>
      <c r="C101" s="53"/>
      <c r="D101" s="53"/>
      <c r="E101" s="54"/>
      <c r="F101" s="55" t="s">
        <v>169</v>
      </c>
      <c r="G101" s="65">
        <v>142.1</v>
      </c>
      <c r="H101" s="59">
        <f t="shared" si="35"/>
        <v>136.03517200000002</v>
      </c>
      <c r="I101" s="59">
        <f t="shared" si="36"/>
        <v>135.5658506566</v>
      </c>
      <c r="J101" s="65">
        <v>2.9</v>
      </c>
      <c r="K101" s="164">
        <v>95</v>
      </c>
      <c r="L101" s="189"/>
      <c r="M101" s="59"/>
      <c r="N101" s="65">
        <f>176-176</f>
        <v>0</v>
      </c>
      <c r="O101" s="65">
        <f>N101*0.8</f>
        <v>0</v>
      </c>
      <c r="P101" s="374">
        <f>O101</f>
        <v>0</v>
      </c>
      <c r="Q101" s="375">
        <f>P101</f>
        <v>0</v>
      </c>
    </row>
    <row r="102" spans="1:20" ht="16.5" customHeight="1" hidden="1" thickBot="1">
      <c r="A102" s="277" t="s">
        <v>395</v>
      </c>
      <c r="B102" s="26"/>
      <c r="C102" s="56"/>
      <c r="D102" s="56"/>
      <c r="E102" s="57"/>
      <c r="F102" s="85">
        <v>340</v>
      </c>
      <c r="G102" s="72">
        <v>283.93422</v>
      </c>
      <c r="H102" s="59">
        <f t="shared" si="35"/>
        <v>271.81590749040004</v>
      </c>
      <c r="I102" s="59">
        <f t="shared" si="36"/>
        <v>270.8781426095581</v>
      </c>
      <c r="J102" s="72">
        <v>5.79458</v>
      </c>
      <c r="K102" s="164">
        <v>289.7288</v>
      </c>
      <c r="L102" s="189">
        <v>114.065</v>
      </c>
      <c r="M102" s="59"/>
      <c r="N102" s="65">
        <f>407.4072-168.7</f>
        <v>238.7072</v>
      </c>
      <c r="O102" s="65">
        <f>N102*0.8</f>
        <v>190.96576000000002</v>
      </c>
      <c r="P102" s="374">
        <f>O102</f>
        <v>190.96576000000002</v>
      </c>
      <c r="Q102" s="375">
        <f>P102</f>
        <v>190.96576000000002</v>
      </c>
      <c r="T102" s="4">
        <v>1016.706</v>
      </c>
    </row>
    <row r="103" spans="1:17" ht="39" thickBot="1">
      <c r="A103" s="274" t="s">
        <v>183</v>
      </c>
      <c r="B103" s="21" t="s">
        <v>134</v>
      </c>
      <c r="C103" s="22" t="s">
        <v>130</v>
      </c>
      <c r="D103" s="22" t="s">
        <v>184</v>
      </c>
      <c r="E103" s="23"/>
      <c r="F103" s="24"/>
      <c r="G103" s="132">
        <f aca="true" t="shared" si="39" ref="G103:Q104">G104</f>
        <v>1897.9199999999998</v>
      </c>
      <c r="H103" s="25">
        <f t="shared" si="39"/>
        <v>1875.51</v>
      </c>
      <c r="I103" s="25">
        <f t="shared" si="39"/>
        <v>2041.5499999999997</v>
      </c>
      <c r="J103" s="132">
        <f t="shared" si="39"/>
        <v>24.690739999999987</v>
      </c>
      <c r="K103" s="175">
        <f t="shared" si="39"/>
        <v>1922.61074</v>
      </c>
      <c r="L103" s="175">
        <f t="shared" si="39"/>
        <v>0</v>
      </c>
      <c r="M103" s="175">
        <f t="shared" si="39"/>
        <v>19.30904</v>
      </c>
      <c r="N103" s="175">
        <f t="shared" si="39"/>
        <v>717.38641</v>
      </c>
      <c r="O103" s="132">
        <f t="shared" si="39"/>
        <v>573.909128</v>
      </c>
      <c r="P103" s="378">
        <f t="shared" si="39"/>
        <v>573.909128</v>
      </c>
      <c r="Q103" s="379">
        <f t="shared" si="39"/>
        <v>573.909128</v>
      </c>
    </row>
    <row r="104" spans="1:17" ht="38.25">
      <c r="A104" s="275" t="s">
        <v>172</v>
      </c>
      <c r="B104" s="73" t="s">
        <v>134</v>
      </c>
      <c r="C104" s="81" t="s">
        <v>130</v>
      </c>
      <c r="D104" s="81" t="s">
        <v>184</v>
      </c>
      <c r="E104" s="82" t="s">
        <v>136</v>
      </c>
      <c r="F104" s="77"/>
      <c r="G104" s="64">
        <f t="shared" si="39"/>
        <v>1897.9199999999998</v>
      </c>
      <c r="H104" s="37">
        <f t="shared" si="39"/>
        <v>1875.51</v>
      </c>
      <c r="I104" s="37">
        <f t="shared" si="39"/>
        <v>2041.5499999999997</v>
      </c>
      <c r="J104" s="64">
        <f t="shared" si="39"/>
        <v>24.690739999999987</v>
      </c>
      <c r="K104" s="176">
        <f t="shared" si="39"/>
        <v>1922.61074</v>
      </c>
      <c r="L104" s="176">
        <f t="shared" si="39"/>
        <v>0</v>
      </c>
      <c r="M104" s="176">
        <f t="shared" si="39"/>
        <v>19.30904</v>
      </c>
      <c r="N104" s="176">
        <f t="shared" si="39"/>
        <v>717.38641</v>
      </c>
      <c r="O104" s="64">
        <f t="shared" si="39"/>
        <v>573.909128</v>
      </c>
      <c r="P104" s="380">
        <f t="shared" si="39"/>
        <v>573.909128</v>
      </c>
      <c r="Q104" s="381">
        <f t="shared" si="39"/>
        <v>573.909128</v>
      </c>
    </row>
    <row r="105" spans="1:19" ht="15.75" customHeight="1">
      <c r="A105" s="270" t="s">
        <v>151</v>
      </c>
      <c r="B105" s="48" t="s">
        <v>134</v>
      </c>
      <c r="C105" s="49" t="s">
        <v>130</v>
      </c>
      <c r="D105" s="49" t="s">
        <v>184</v>
      </c>
      <c r="E105" s="50" t="s">
        <v>152</v>
      </c>
      <c r="F105" s="51"/>
      <c r="G105" s="71">
        <f aca="true" t="shared" si="40" ref="G105:N105">G106+G110+G116</f>
        <v>1897.9199999999998</v>
      </c>
      <c r="H105" s="71">
        <f t="shared" si="40"/>
        <v>1875.51</v>
      </c>
      <c r="I105" s="71">
        <f t="shared" si="40"/>
        <v>2041.5499999999997</v>
      </c>
      <c r="J105" s="71">
        <f t="shared" si="40"/>
        <v>24.690739999999987</v>
      </c>
      <c r="K105" s="173">
        <f t="shared" si="40"/>
        <v>1922.61074</v>
      </c>
      <c r="L105" s="173">
        <f t="shared" si="40"/>
        <v>0</v>
      </c>
      <c r="M105" s="173">
        <f t="shared" si="40"/>
        <v>19.30904</v>
      </c>
      <c r="N105" s="173">
        <f t="shared" si="40"/>
        <v>717.38641</v>
      </c>
      <c r="O105" s="71">
        <f>O106+O110+O116</f>
        <v>573.909128</v>
      </c>
      <c r="P105" s="370">
        <f>P106+P110+P116</f>
        <v>573.909128</v>
      </c>
      <c r="Q105" s="371">
        <f>Q106+Q110+Q116</f>
        <v>573.909128</v>
      </c>
      <c r="R105" s="4" t="s">
        <v>363</v>
      </c>
      <c r="S105" s="4" t="s">
        <v>386</v>
      </c>
    </row>
    <row r="106" spans="1:19" ht="16.5" customHeight="1">
      <c r="A106" s="276" t="s">
        <v>79</v>
      </c>
      <c r="B106" s="99" t="s">
        <v>134</v>
      </c>
      <c r="C106" s="53" t="s">
        <v>130</v>
      </c>
      <c r="D106" s="53" t="s">
        <v>184</v>
      </c>
      <c r="E106" s="54" t="s">
        <v>152</v>
      </c>
      <c r="F106" s="75" t="s">
        <v>76</v>
      </c>
      <c r="G106" s="65">
        <f aca="true" t="shared" si="41" ref="G106:N106">G107+G108+G109</f>
        <v>1571.52</v>
      </c>
      <c r="H106" s="59">
        <f t="shared" si="41"/>
        <v>1566.11</v>
      </c>
      <c r="I106" s="59">
        <f t="shared" si="41"/>
        <v>1718.5499999999997</v>
      </c>
      <c r="J106" s="65">
        <f t="shared" si="41"/>
        <v>161.09073999999998</v>
      </c>
      <c r="K106" s="164">
        <f t="shared" si="41"/>
        <v>1732.61074</v>
      </c>
      <c r="L106" s="162">
        <f t="shared" si="41"/>
        <v>0</v>
      </c>
      <c r="M106" s="162">
        <f t="shared" si="41"/>
        <v>19.30904</v>
      </c>
      <c r="N106" s="162">
        <f t="shared" si="41"/>
        <v>602.38641</v>
      </c>
      <c r="O106" s="72">
        <f>O107+O108+O109</f>
        <v>481.909128</v>
      </c>
      <c r="P106" s="388">
        <f>P107+P108+P109</f>
        <v>481.909128</v>
      </c>
      <c r="Q106" s="389">
        <f>Q107+Q108+Q109</f>
        <v>481.909128</v>
      </c>
      <c r="R106" s="3">
        <v>1</v>
      </c>
      <c r="S106" s="3">
        <v>2.75</v>
      </c>
    </row>
    <row r="107" spans="1:20" ht="13.5" hidden="1" thickBot="1">
      <c r="A107" s="272"/>
      <c r="B107" s="105"/>
      <c r="C107" s="74"/>
      <c r="D107" s="74"/>
      <c r="E107" s="79"/>
      <c r="F107" s="58" t="s">
        <v>146</v>
      </c>
      <c r="G107" s="76">
        <v>1254.76</v>
      </c>
      <c r="H107" s="98">
        <f>1314*0.91</f>
        <v>1195.74</v>
      </c>
      <c r="I107" s="59">
        <f>1382*0.95</f>
        <v>1312.8999999999999</v>
      </c>
      <c r="J107" s="76">
        <v>192.8689</v>
      </c>
      <c r="K107" s="166">
        <v>1330.44074</v>
      </c>
      <c r="L107" s="207"/>
      <c r="M107" s="91">
        <v>14.83029</v>
      </c>
      <c r="N107" s="91">
        <v>468.32547</v>
      </c>
      <c r="O107" s="91">
        <f>N107*0.8</f>
        <v>374.66037600000004</v>
      </c>
      <c r="P107" s="390">
        <f aca="true" t="shared" si="42" ref="P107:Q109">O107</f>
        <v>374.66037600000004</v>
      </c>
      <c r="Q107" s="391">
        <f t="shared" si="42"/>
        <v>374.66037600000004</v>
      </c>
      <c r="R107" s="4">
        <v>468.32547</v>
      </c>
      <c r="S107" s="3">
        <v>1238.505</v>
      </c>
      <c r="T107" s="4" t="s">
        <v>387</v>
      </c>
    </row>
    <row r="108" spans="1:20" ht="13.5" customHeight="1" hidden="1" thickBot="1">
      <c r="A108" s="270"/>
      <c r="B108" s="99"/>
      <c r="C108" s="53"/>
      <c r="D108" s="53"/>
      <c r="E108" s="54"/>
      <c r="F108" s="55" t="s">
        <v>147</v>
      </c>
      <c r="G108" s="65">
        <v>0</v>
      </c>
      <c r="H108" s="59">
        <f>10*0.91</f>
        <v>9.1</v>
      </c>
      <c r="I108" s="59">
        <f>10*0.95</f>
        <v>9.5</v>
      </c>
      <c r="J108" s="65"/>
      <c r="K108" s="166">
        <f>G108+J108</f>
        <v>0</v>
      </c>
      <c r="L108" s="189"/>
      <c r="M108" s="59"/>
      <c r="N108" s="59">
        <f>K108+L108+M108</f>
        <v>0</v>
      </c>
      <c r="O108" s="91">
        <f>N108*0.8</f>
        <v>0</v>
      </c>
      <c r="P108" s="390">
        <f t="shared" si="42"/>
        <v>0</v>
      </c>
      <c r="Q108" s="391">
        <f t="shared" si="42"/>
        <v>0</v>
      </c>
      <c r="S108" s="3"/>
      <c r="T108" s="4" t="s">
        <v>388</v>
      </c>
    </row>
    <row r="109" spans="1:19" ht="13.5" customHeight="1" hidden="1">
      <c r="A109" s="272"/>
      <c r="B109" s="99"/>
      <c r="C109" s="53"/>
      <c r="D109" s="53"/>
      <c r="E109" s="54"/>
      <c r="F109" s="58" t="s">
        <v>148</v>
      </c>
      <c r="G109" s="65">
        <v>316.76</v>
      </c>
      <c r="H109" s="59">
        <f>397*0.91</f>
        <v>361.27000000000004</v>
      </c>
      <c r="I109" s="59">
        <f>417*0.95</f>
        <v>396.15</v>
      </c>
      <c r="J109" s="65">
        <v>-31.77816</v>
      </c>
      <c r="K109" s="166">
        <v>402.17</v>
      </c>
      <c r="L109" s="189"/>
      <c r="M109" s="59">
        <v>4.47875</v>
      </c>
      <c r="N109" s="59">
        <v>134.06094</v>
      </c>
      <c r="O109" s="91">
        <f>N109*0.8</f>
        <v>107.248752</v>
      </c>
      <c r="P109" s="390">
        <f t="shared" si="42"/>
        <v>107.248752</v>
      </c>
      <c r="Q109" s="391">
        <f t="shared" si="42"/>
        <v>107.248752</v>
      </c>
      <c r="R109" s="4">
        <v>134.06094</v>
      </c>
      <c r="S109" s="3">
        <v>374.02851</v>
      </c>
    </row>
    <row r="110" spans="1:17" ht="16.5" customHeight="1" thickBot="1">
      <c r="A110" s="276" t="s">
        <v>80</v>
      </c>
      <c r="B110" s="99" t="s">
        <v>134</v>
      </c>
      <c r="C110" s="53" t="s">
        <v>130</v>
      </c>
      <c r="D110" s="53" t="s">
        <v>184</v>
      </c>
      <c r="E110" s="54" t="s">
        <v>152</v>
      </c>
      <c r="F110" s="75" t="s">
        <v>77</v>
      </c>
      <c r="G110" s="65">
        <f aca="true" t="shared" si="43" ref="G110:N110">G111+G112+G113+G114+G117+G118</f>
        <v>321.6</v>
      </c>
      <c r="H110" s="59">
        <f t="shared" si="43"/>
        <v>304.85</v>
      </c>
      <c r="I110" s="59">
        <f t="shared" si="43"/>
        <v>318.25</v>
      </c>
      <c r="J110" s="65">
        <f t="shared" si="43"/>
        <v>-131.6</v>
      </c>
      <c r="K110" s="164">
        <f t="shared" si="43"/>
        <v>190</v>
      </c>
      <c r="L110" s="189">
        <f t="shared" si="43"/>
        <v>0</v>
      </c>
      <c r="M110" s="59">
        <f t="shared" si="43"/>
        <v>0</v>
      </c>
      <c r="N110" s="59">
        <f t="shared" si="43"/>
        <v>115</v>
      </c>
      <c r="O110" s="59">
        <f>O111+O112+O113+O114+O117+O118</f>
        <v>92</v>
      </c>
      <c r="P110" s="374">
        <f>P111+P112+P113+P114+P117+P118</f>
        <v>92</v>
      </c>
      <c r="Q110" s="375">
        <f>Q111+Q112+Q113+Q114+Q117+Q118</f>
        <v>92</v>
      </c>
    </row>
    <row r="111" spans="1:19" ht="16.5" customHeight="1" hidden="1">
      <c r="A111" s="272"/>
      <c r="B111" s="105"/>
      <c r="C111" s="74"/>
      <c r="D111" s="74"/>
      <c r="E111" s="79"/>
      <c r="F111" s="58" t="s">
        <v>164</v>
      </c>
      <c r="G111" s="76">
        <v>5</v>
      </c>
      <c r="H111" s="98">
        <f>5*0.91</f>
        <v>4.55</v>
      </c>
      <c r="I111" s="59">
        <f>5*0.95</f>
        <v>4.75</v>
      </c>
      <c r="J111" s="76">
        <v>20</v>
      </c>
      <c r="K111" s="166">
        <v>20</v>
      </c>
      <c r="L111" s="189"/>
      <c r="M111" s="59"/>
      <c r="N111" s="59">
        <v>0</v>
      </c>
      <c r="O111" s="59">
        <f>N111*0.8</f>
        <v>0</v>
      </c>
      <c r="P111" s="374">
        <f>O111</f>
        <v>0</v>
      </c>
      <c r="Q111" s="375">
        <f>P111</f>
        <v>0</v>
      </c>
      <c r="R111" s="4">
        <v>0</v>
      </c>
      <c r="S111" s="3">
        <v>35</v>
      </c>
    </row>
    <row r="112" spans="1:19" ht="12.75" hidden="1">
      <c r="A112" s="270"/>
      <c r="B112" s="99"/>
      <c r="C112" s="53"/>
      <c r="D112" s="53"/>
      <c r="E112" s="54"/>
      <c r="F112" s="55" t="s">
        <v>165</v>
      </c>
      <c r="G112" s="65">
        <v>65</v>
      </c>
      <c r="H112" s="59">
        <f>85*0.91</f>
        <v>77.35000000000001</v>
      </c>
      <c r="I112" s="59">
        <f>85*0.95</f>
        <v>80.75</v>
      </c>
      <c r="J112" s="65">
        <v>-49</v>
      </c>
      <c r="K112" s="166">
        <v>1</v>
      </c>
      <c r="L112" s="189"/>
      <c r="M112" s="59"/>
      <c r="N112" s="59">
        <v>5</v>
      </c>
      <c r="O112" s="59">
        <f>N112*0.8</f>
        <v>4</v>
      </c>
      <c r="P112" s="374">
        <f aca="true" t="shared" si="44" ref="P112:Q115">O112</f>
        <v>4</v>
      </c>
      <c r="Q112" s="375">
        <f t="shared" si="44"/>
        <v>4</v>
      </c>
      <c r="R112" s="4">
        <v>5</v>
      </c>
      <c r="S112" s="3">
        <v>40</v>
      </c>
    </row>
    <row r="113" spans="1:19" ht="12.75" hidden="1">
      <c r="A113" s="272"/>
      <c r="B113" s="99"/>
      <c r="C113" s="53"/>
      <c r="D113" s="53"/>
      <c r="E113" s="54"/>
      <c r="F113" s="58" t="s">
        <v>166</v>
      </c>
      <c r="G113" s="65"/>
      <c r="H113" s="59">
        <f>5*0.91</f>
        <v>4.55</v>
      </c>
      <c r="I113" s="59">
        <f>5*0.95</f>
        <v>4.75</v>
      </c>
      <c r="J113" s="65"/>
      <c r="K113" s="166">
        <f>G113+J113</f>
        <v>0</v>
      </c>
      <c r="L113" s="189"/>
      <c r="M113" s="59"/>
      <c r="N113" s="59">
        <v>0</v>
      </c>
      <c r="O113" s="59">
        <f>N113*0.8</f>
        <v>0</v>
      </c>
      <c r="P113" s="374">
        <f t="shared" si="44"/>
        <v>0</v>
      </c>
      <c r="Q113" s="375">
        <f t="shared" si="44"/>
        <v>0</v>
      </c>
      <c r="S113" s="3">
        <v>23.22</v>
      </c>
    </row>
    <row r="114" spans="1:19" ht="12.75" hidden="1">
      <c r="A114" s="272"/>
      <c r="B114" s="99"/>
      <c r="C114" s="53"/>
      <c r="D114" s="53"/>
      <c r="E114" s="54"/>
      <c r="F114" s="58" t="s">
        <v>167</v>
      </c>
      <c r="G114" s="65">
        <v>10</v>
      </c>
      <c r="H114" s="59">
        <f>50*0.91</f>
        <v>45.5</v>
      </c>
      <c r="I114" s="59">
        <f>50*0.95</f>
        <v>47.5</v>
      </c>
      <c r="J114" s="65">
        <v>50</v>
      </c>
      <c r="K114" s="166">
        <v>30</v>
      </c>
      <c r="L114" s="189"/>
      <c r="M114" s="59"/>
      <c r="N114" s="59">
        <v>30</v>
      </c>
      <c r="O114" s="59">
        <f>N114*0.8</f>
        <v>24</v>
      </c>
      <c r="P114" s="374">
        <f t="shared" si="44"/>
        <v>24</v>
      </c>
      <c r="Q114" s="375">
        <f t="shared" si="44"/>
        <v>24</v>
      </c>
      <c r="R114" s="4">
        <v>30</v>
      </c>
      <c r="S114" s="3">
        <v>100</v>
      </c>
    </row>
    <row r="115" spans="1:19" ht="12.75" hidden="1">
      <c r="A115" s="272"/>
      <c r="B115" s="99"/>
      <c r="C115" s="53"/>
      <c r="D115" s="53"/>
      <c r="E115" s="54"/>
      <c r="F115" s="58" t="s">
        <v>168</v>
      </c>
      <c r="G115" s="65">
        <f>5*0.96</f>
        <v>4.8</v>
      </c>
      <c r="H115" s="59">
        <f>5*0.91</f>
        <v>4.55</v>
      </c>
      <c r="I115" s="59">
        <f>5*0.95</f>
        <v>4.75</v>
      </c>
      <c r="J115" s="65">
        <v>-4.8</v>
      </c>
      <c r="K115" s="166">
        <v>0</v>
      </c>
      <c r="L115" s="189"/>
      <c r="M115" s="59"/>
      <c r="N115" s="59">
        <v>0</v>
      </c>
      <c r="O115" s="59">
        <f>N115*0.8</f>
        <v>0</v>
      </c>
      <c r="P115" s="374">
        <f t="shared" si="44"/>
        <v>0</v>
      </c>
      <c r="Q115" s="375">
        <f t="shared" si="44"/>
        <v>0</v>
      </c>
      <c r="S115" s="3"/>
    </row>
    <row r="116" spans="1:19" ht="14.25" customHeight="1" hidden="1">
      <c r="A116" s="277" t="s">
        <v>81</v>
      </c>
      <c r="B116" s="99" t="s">
        <v>134</v>
      </c>
      <c r="C116" s="53" t="s">
        <v>130</v>
      </c>
      <c r="D116" s="53" t="s">
        <v>184</v>
      </c>
      <c r="E116" s="54" t="s">
        <v>152</v>
      </c>
      <c r="F116" s="58" t="s">
        <v>78</v>
      </c>
      <c r="G116" s="65">
        <f aca="true" t="shared" si="45" ref="G116:Q116">G115</f>
        <v>4.8</v>
      </c>
      <c r="H116" s="59">
        <f t="shared" si="45"/>
        <v>4.55</v>
      </c>
      <c r="I116" s="59">
        <f t="shared" si="45"/>
        <v>4.75</v>
      </c>
      <c r="J116" s="65">
        <f t="shared" si="45"/>
        <v>-4.8</v>
      </c>
      <c r="K116" s="164">
        <f t="shared" si="45"/>
        <v>0</v>
      </c>
      <c r="L116" s="189">
        <f t="shared" si="45"/>
        <v>0</v>
      </c>
      <c r="M116" s="59">
        <f t="shared" si="45"/>
        <v>0</v>
      </c>
      <c r="N116" s="59">
        <f t="shared" si="45"/>
        <v>0</v>
      </c>
      <c r="O116" s="59">
        <f t="shared" si="45"/>
        <v>0</v>
      </c>
      <c r="P116" s="374">
        <f t="shared" si="45"/>
        <v>0</v>
      </c>
      <c r="Q116" s="375">
        <f t="shared" si="45"/>
        <v>0</v>
      </c>
      <c r="S116" s="3"/>
    </row>
    <row r="117" spans="1:19" ht="15" customHeight="1" hidden="1">
      <c r="A117" s="270"/>
      <c r="B117" s="48"/>
      <c r="C117" s="53"/>
      <c r="D117" s="53"/>
      <c r="E117" s="54"/>
      <c r="F117" s="55" t="s">
        <v>169</v>
      </c>
      <c r="G117" s="65">
        <v>110</v>
      </c>
      <c r="H117" s="59">
        <f>110*0.91</f>
        <v>100.10000000000001</v>
      </c>
      <c r="I117" s="59">
        <f>110*0.95</f>
        <v>104.5</v>
      </c>
      <c r="J117" s="65">
        <f>-21-30</f>
        <v>-51</v>
      </c>
      <c r="K117" s="164">
        <v>80</v>
      </c>
      <c r="L117" s="189"/>
      <c r="M117" s="59"/>
      <c r="N117" s="59">
        <v>50</v>
      </c>
      <c r="O117" s="59">
        <f>N117*0.8</f>
        <v>40</v>
      </c>
      <c r="P117" s="374">
        <f>O117</f>
        <v>40</v>
      </c>
      <c r="Q117" s="375">
        <f>P117</f>
        <v>40</v>
      </c>
      <c r="R117" s="4">
        <v>50</v>
      </c>
      <c r="S117" s="3">
        <v>100</v>
      </c>
    </row>
    <row r="118" spans="1:20" ht="16.5" customHeight="1" hidden="1" thickBot="1">
      <c r="A118" s="272"/>
      <c r="B118" s="26"/>
      <c r="C118" s="56"/>
      <c r="D118" s="56"/>
      <c r="E118" s="57"/>
      <c r="F118" s="58" t="s">
        <v>170</v>
      </c>
      <c r="G118" s="72">
        <v>131.6</v>
      </c>
      <c r="H118" s="80">
        <f>80*0.91</f>
        <v>72.8</v>
      </c>
      <c r="I118" s="80">
        <f>80*0.95</f>
        <v>76</v>
      </c>
      <c r="J118" s="72">
        <f>-62.9-0.62-38.08</f>
        <v>-101.6</v>
      </c>
      <c r="K118" s="164">
        <v>59</v>
      </c>
      <c r="L118" s="197"/>
      <c r="M118" s="63"/>
      <c r="N118" s="63">
        <v>30</v>
      </c>
      <c r="O118" s="59">
        <f>N118*0.8</f>
        <v>24</v>
      </c>
      <c r="P118" s="374">
        <f>O118</f>
        <v>24</v>
      </c>
      <c r="Q118" s="375">
        <f>P118</f>
        <v>24</v>
      </c>
      <c r="R118" s="4">
        <v>30</v>
      </c>
      <c r="S118" s="3">
        <v>100</v>
      </c>
      <c r="T118" s="4" t="s">
        <v>389</v>
      </c>
    </row>
    <row r="119" spans="1:19" s="1" customFormat="1" ht="18.75" customHeight="1" thickBot="1">
      <c r="A119" s="268" t="s">
        <v>188</v>
      </c>
      <c r="B119" s="16" t="s">
        <v>134</v>
      </c>
      <c r="C119" s="17" t="s">
        <v>130</v>
      </c>
      <c r="D119" s="17" t="s">
        <v>187</v>
      </c>
      <c r="E119" s="18"/>
      <c r="F119" s="19"/>
      <c r="G119" s="130">
        <f aca="true" t="shared" si="46" ref="G119:Q122">G120</f>
        <v>300</v>
      </c>
      <c r="H119" s="20">
        <f t="shared" si="46"/>
        <v>300</v>
      </c>
      <c r="I119" s="20">
        <f t="shared" si="46"/>
        <v>300</v>
      </c>
      <c r="J119" s="130">
        <f t="shared" si="46"/>
        <v>0</v>
      </c>
      <c r="K119" s="171">
        <f t="shared" si="46"/>
        <v>300</v>
      </c>
      <c r="L119" s="171">
        <f t="shared" si="46"/>
        <v>0</v>
      </c>
      <c r="M119" s="171">
        <f t="shared" si="46"/>
        <v>0</v>
      </c>
      <c r="N119" s="171">
        <f t="shared" si="46"/>
        <v>300</v>
      </c>
      <c r="O119" s="130">
        <f t="shared" si="46"/>
        <v>300</v>
      </c>
      <c r="P119" s="366">
        <f t="shared" si="46"/>
        <v>300</v>
      </c>
      <c r="Q119" s="367">
        <f t="shared" si="46"/>
        <v>300</v>
      </c>
      <c r="S119" s="1">
        <f>S107+S109+S111+S112+S113+S114+S117+S118</f>
        <v>2010.7535100000002</v>
      </c>
    </row>
    <row r="120" spans="1:17" s="1" customFormat="1" ht="17.25" customHeight="1">
      <c r="A120" s="275" t="s">
        <v>188</v>
      </c>
      <c r="B120" s="73" t="s">
        <v>134</v>
      </c>
      <c r="C120" s="81" t="s">
        <v>130</v>
      </c>
      <c r="D120" s="81" t="s">
        <v>187</v>
      </c>
      <c r="E120" s="82" t="s">
        <v>189</v>
      </c>
      <c r="F120" s="77"/>
      <c r="G120" s="64">
        <f t="shared" si="46"/>
        <v>300</v>
      </c>
      <c r="H120" s="37">
        <f t="shared" si="46"/>
        <v>300</v>
      </c>
      <c r="I120" s="37">
        <f t="shared" si="46"/>
        <v>300</v>
      </c>
      <c r="J120" s="64">
        <f t="shared" si="46"/>
        <v>0</v>
      </c>
      <c r="K120" s="176">
        <f t="shared" si="46"/>
        <v>300</v>
      </c>
      <c r="L120" s="176">
        <f t="shared" si="46"/>
        <v>0</v>
      </c>
      <c r="M120" s="176">
        <f t="shared" si="46"/>
        <v>0</v>
      </c>
      <c r="N120" s="176">
        <f t="shared" si="46"/>
        <v>300</v>
      </c>
      <c r="O120" s="64">
        <f t="shared" si="46"/>
        <v>300</v>
      </c>
      <c r="P120" s="380">
        <f t="shared" si="46"/>
        <v>300</v>
      </c>
      <c r="Q120" s="381">
        <f t="shared" si="46"/>
        <v>300</v>
      </c>
    </row>
    <row r="121" spans="1:17" ht="16.5" customHeight="1" thickBot="1">
      <c r="A121" s="277" t="s">
        <v>190</v>
      </c>
      <c r="B121" s="99" t="s">
        <v>134</v>
      </c>
      <c r="C121" s="53" t="s">
        <v>130</v>
      </c>
      <c r="D121" s="53" t="s">
        <v>187</v>
      </c>
      <c r="E121" s="54" t="s">
        <v>191</v>
      </c>
      <c r="F121" s="55" t="s">
        <v>82</v>
      </c>
      <c r="G121" s="65">
        <f t="shared" si="46"/>
        <v>300</v>
      </c>
      <c r="H121" s="59">
        <f t="shared" si="46"/>
        <v>300</v>
      </c>
      <c r="I121" s="59">
        <f t="shared" si="46"/>
        <v>300</v>
      </c>
      <c r="J121" s="65"/>
      <c r="K121" s="164">
        <v>300</v>
      </c>
      <c r="L121" s="189"/>
      <c r="M121" s="59"/>
      <c r="N121" s="65">
        <v>300</v>
      </c>
      <c r="O121" s="65">
        <v>300</v>
      </c>
      <c r="P121" s="374">
        <v>300</v>
      </c>
      <c r="Q121" s="375">
        <v>300</v>
      </c>
    </row>
    <row r="122" spans="1:17" s="1" customFormat="1" ht="0.75" customHeight="1" hidden="1">
      <c r="A122" s="277" t="s">
        <v>88</v>
      </c>
      <c r="B122" s="99" t="s">
        <v>185</v>
      </c>
      <c r="C122" s="53" t="s">
        <v>130</v>
      </c>
      <c r="D122" s="53" t="s">
        <v>187</v>
      </c>
      <c r="E122" s="54" t="s">
        <v>191</v>
      </c>
      <c r="F122" s="55" t="s">
        <v>82</v>
      </c>
      <c r="G122" s="65">
        <f t="shared" si="46"/>
        <v>300</v>
      </c>
      <c r="H122" s="59">
        <f t="shared" si="46"/>
        <v>300</v>
      </c>
      <c r="I122" s="59">
        <f t="shared" si="46"/>
        <v>300</v>
      </c>
      <c r="J122" s="65">
        <f t="shared" si="46"/>
        <v>300</v>
      </c>
      <c r="K122" s="164">
        <f t="shared" si="46"/>
        <v>300</v>
      </c>
      <c r="L122" s="189"/>
      <c r="M122" s="59"/>
      <c r="N122" s="65"/>
      <c r="O122" s="65"/>
      <c r="P122" s="374"/>
      <c r="Q122" s="375"/>
    </row>
    <row r="123" spans="1:17" s="1" customFormat="1" ht="13.5" hidden="1" thickBot="1">
      <c r="A123" s="272"/>
      <c r="B123" s="26"/>
      <c r="C123" s="56"/>
      <c r="D123" s="56"/>
      <c r="E123" s="57"/>
      <c r="F123" s="58" t="s">
        <v>168</v>
      </c>
      <c r="G123" s="72">
        <v>300</v>
      </c>
      <c r="H123" s="80">
        <v>300</v>
      </c>
      <c r="I123" s="80">
        <v>300</v>
      </c>
      <c r="J123" s="72">
        <v>300</v>
      </c>
      <c r="K123" s="162">
        <v>300</v>
      </c>
      <c r="L123" s="194"/>
      <c r="M123" s="80"/>
      <c r="N123" s="72"/>
      <c r="O123" s="72"/>
      <c r="P123" s="374"/>
      <c r="Q123" s="375"/>
    </row>
    <row r="124" spans="1:17" s="1" customFormat="1" ht="15" thickBot="1">
      <c r="A124" s="268" t="s">
        <v>192</v>
      </c>
      <c r="B124" s="16" t="s">
        <v>133</v>
      </c>
      <c r="C124" s="17" t="s">
        <v>130</v>
      </c>
      <c r="D124" s="17" t="s">
        <v>193</v>
      </c>
      <c r="E124" s="18"/>
      <c r="F124" s="19"/>
      <c r="G124" s="130" t="e">
        <f>#REF!+G286+G293+G340</f>
        <v>#REF!</v>
      </c>
      <c r="H124" s="20" t="e">
        <f>#REF!+H286+H293+H340</f>
        <v>#REF!</v>
      </c>
      <c r="I124" s="20" t="e">
        <f>#REF!+I286+I293+I340</f>
        <v>#REF!</v>
      </c>
      <c r="J124" s="130" t="e">
        <f>#REF!+J286+J293+J340</f>
        <v>#REF!</v>
      </c>
      <c r="K124" s="171" t="e">
        <f>#REF!+K286+K293+K340</f>
        <v>#REF!</v>
      </c>
      <c r="L124" s="195"/>
      <c r="M124" s="20"/>
      <c r="N124" s="130"/>
      <c r="O124" s="130">
        <f>O168+O206+O238+O271+O340</f>
        <v>5599</v>
      </c>
      <c r="P124" s="366">
        <f>P168+P206+P238+P271+P340</f>
        <v>5471.9</v>
      </c>
      <c r="Q124" s="367">
        <f>Q168+Q206+Q238+Q271+Q340</f>
        <v>5497.8</v>
      </c>
    </row>
    <row r="125" spans="1:17" s="1" customFormat="1" ht="13.5" hidden="1" thickBot="1">
      <c r="A125" s="275" t="s">
        <v>151</v>
      </c>
      <c r="B125" s="73" t="s">
        <v>134</v>
      </c>
      <c r="C125" s="74" t="s">
        <v>130</v>
      </c>
      <c r="D125" s="81" t="s">
        <v>193</v>
      </c>
      <c r="E125" s="79" t="s">
        <v>152</v>
      </c>
      <c r="F125" s="75" t="s">
        <v>133</v>
      </c>
      <c r="G125" s="64">
        <f>G126+G136</f>
        <v>0</v>
      </c>
      <c r="H125" s="37">
        <f>H126+H136</f>
        <v>0</v>
      </c>
      <c r="I125" s="37">
        <f>I126+I136</f>
        <v>0</v>
      </c>
      <c r="J125" s="64">
        <f>J126+J136</f>
        <v>0</v>
      </c>
      <c r="K125" s="176">
        <f>K126+K136</f>
        <v>0</v>
      </c>
      <c r="L125" s="187"/>
      <c r="M125" s="52"/>
      <c r="N125" s="71"/>
      <c r="O125" s="71"/>
      <c r="P125" s="370"/>
      <c r="Q125" s="371"/>
    </row>
    <row r="126" spans="1:17" s="1" customFormat="1" ht="13.5" hidden="1" thickBot="1">
      <c r="A126" s="270" t="s">
        <v>139</v>
      </c>
      <c r="B126" s="48" t="s">
        <v>134</v>
      </c>
      <c r="C126" s="53" t="s">
        <v>130</v>
      </c>
      <c r="D126" s="49" t="s">
        <v>193</v>
      </c>
      <c r="E126" s="54" t="s">
        <v>152</v>
      </c>
      <c r="F126" s="55" t="s">
        <v>140</v>
      </c>
      <c r="G126" s="71">
        <f>G127+G134</f>
        <v>0</v>
      </c>
      <c r="H126" s="52">
        <f>H127+H134</f>
        <v>0</v>
      </c>
      <c r="I126" s="52">
        <f>I127+I134</f>
        <v>0</v>
      </c>
      <c r="J126" s="71">
        <f>J127+J134</f>
        <v>0</v>
      </c>
      <c r="K126" s="173">
        <f>K127+K134</f>
        <v>0</v>
      </c>
      <c r="L126" s="187"/>
      <c r="M126" s="52"/>
      <c r="N126" s="71"/>
      <c r="O126" s="71"/>
      <c r="P126" s="370"/>
      <c r="Q126" s="371"/>
    </row>
    <row r="127" spans="1:17" s="1" customFormat="1" ht="13.5" hidden="1" thickBot="1">
      <c r="A127" s="270" t="s">
        <v>141</v>
      </c>
      <c r="B127" s="48" t="s">
        <v>134</v>
      </c>
      <c r="C127" s="53" t="s">
        <v>130</v>
      </c>
      <c r="D127" s="49" t="s">
        <v>193</v>
      </c>
      <c r="E127" s="54" t="s">
        <v>152</v>
      </c>
      <c r="F127" s="55" t="s">
        <v>140</v>
      </c>
      <c r="G127" s="133">
        <f>G128+G132</f>
        <v>0</v>
      </c>
      <c r="H127" s="83">
        <f>H128+H132</f>
        <v>0</v>
      </c>
      <c r="I127" s="83">
        <f>I128+I132</f>
        <v>0</v>
      </c>
      <c r="J127" s="133">
        <f>J128+J132</f>
        <v>0</v>
      </c>
      <c r="K127" s="179">
        <f>K128+K132</f>
        <v>0</v>
      </c>
      <c r="L127" s="190"/>
      <c r="M127" s="83"/>
      <c r="N127" s="133"/>
      <c r="O127" s="133"/>
      <c r="P127" s="392"/>
      <c r="Q127" s="393"/>
    </row>
    <row r="128" spans="1:17" s="1" customFormat="1" ht="13.5" hidden="1" thickBot="1">
      <c r="A128" s="270" t="s">
        <v>153</v>
      </c>
      <c r="B128" s="48" t="s">
        <v>134</v>
      </c>
      <c r="C128" s="53" t="s">
        <v>130</v>
      </c>
      <c r="D128" s="49" t="s">
        <v>193</v>
      </c>
      <c r="E128" s="54" t="s">
        <v>152</v>
      </c>
      <c r="F128" s="55" t="s">
        <v>140</v>
      </c>
      <c r="G128" s="71">
        <f>SUM(G129:G131)</f>
        <v>0</v>
      </c>
      <c r="H128" s="52">
        <f>SUM(H129:H131)</f>
        <v>0</v>
      </c>
      <c r="I128" s="52">
        <f>SUM(I129:I131)</f>
        <v>0</v>
      </c>
      <c r="J128" s="71">
        <f>SUM(J129:J131)</f>
        <v>0</v>
      </c>
      <c r="K128" s="173">
        <f>SUM(K129:K131)</f>
        <v>0</v>
      </c>
      <c r="L128" s="187"/>
      <c r="M128" s="52"/>
      <c r="N128" s="71"/>
      <c r="O128" s="71"/>
      <c r="P128" s="370"/>
      <c r="Q128" s="371"/>
    </row>
    <row r="129" spans="1:17" s="1" customFormat="1" ht="13.5" hidden="1" thickBot="1">
      <c r="A129" s="270" t="s">
        <v>143</v>
      </c>
      <c r="B129" s="48" t="s">
        <v>134</v>
      </c>
      <c r="C129" s="53" t="s">
        <v>130</v>
      </c>
      <c r="D129" s="49" t="s">
        <v>193</v>
      </c>
      <c r="E129" s="54" t="s">
        <v>152</v>
      </c>
      <c r="F129" s="55" t="s">
        <v>140</v>
      </c>
      <c r="G129" s="71"/>
      <c r="H129" s="52"/>
      <c r="I129" s="52"/>
      <c r="J129" s="71"/>
      <c r="K129" s="173"/>
      <c r="L129" s="187"/>
      <c r="M129" s="52"/>
      <c r="N129" s="71"/>
      <c r="O129" s="71"/>
      <c r="P129" s="370"/>
      <c r="Q129" s="371"/>
    </row>
    <row r="130" spans="1:17" s="1" customFormat="1" ht="13.5" hidden="1" thickBot="1">
      <c r="A130" s="270" t="s">
        <v>144</v>
      </c>
      <c r="B130" s="48" t="s">
        <v>134</v>
      </c>
      <c r="C130" s="53" t="s">
        <v>130</v>
      </c>
      <c r="D130" s="49" t="s">
        <v>193</v>
      </c>
      <c r="E130" s="54" t="s">
        <v>152</v>
      </c>
      <c r="F130" s="55" t="s">
        <v>140</v>
      </c>
      <c r="G130" s="71"/>
      <c r="H130" s="52"/>
      <c r="I130" s="52"/>
      <c r="J130" s="71"/>
      <c r="K130" s="173"/>
      <c r="L130" s="187"/>
      <c r="M130" s="52"/>
      <c r="N130" s="71"/>
      <c r="O130" s="71"/>
      <c r="P130" s="370"/>
      <c r="Q130" s="371"/>
    </row>
    <row r="131" spans="1:17" s="1" customFormat="1" ht="13.5" hidden="1" thickBot="1">
      <c r="A131" s="270" t="s">
        <v>145</v>
      </c>
      <c r="B131" s="48" t="s">
        <v>134</v>
      </c>
      <c r="C131" s="53" t="s">
        <v>130</v>
      </c>
      <c r="D131" s="49" t="s">
        <v>193</v>
      </c>
      <c r="E131" s="54" t="s">
        <v>152</v>
      </c>
      <c r="F131" s="55" t="s">
        <v>140</v>
      </c>
      <c r="G131" s="71"/>
      <c r="H131" s="52"/>
      <c r="I131" s="52"/>
      <c r="J131" s="71"/>
      <c r="K131" s="173"/>
      <c r="L131" s="187"/>
      <c r="M131" s="52"/>
      <c r="N131" s="71"/>
      <c r="O131" s="71"/>
      <c r="P131" s="370"/>
      <c r="Q131" s="371"/>
    </row>
    <row r="132" spans="1:17" s="1" customFormat="1" ht="13.5" hidden="1" thickBot="1">
      <c r="A132" s="270" t="s">
        <v>153</v>
      </c>
      <c r="B132" s="48" t="s">
        <v>134</v>
      </c>
      <c r="C132" s="53" t="s">
        <v>130</v>
      </c>
      <c r="D132" s="49" t="s">
        <v>193</v>
      </c>
      <c r="E132" s="54" t="s">
        <v>152</v>
      </c>
      <c r="F132" s="55" t="s">
        <v>140</v>
      </c>
      <c r="G132" s="71">
        <f>G133</f>
        <v>0</v>
      </c>
      <c r="H132" s="52">
        <f>H133</f>
        <v>0</v>
      </c>
      <c r="I132" s="52">
        <f>I133</f>
        <v>0</v>
      </c>
      <c r="J132" s="71">
        <f>J133</f>
        <v>0</v>
      </c>
      <c r="K132" s="173">
        <f>K133</f>
        <v>0</v>
      </c>
      <c r="L132" s="187"/>
      <c r="M132" s="52"/>
      <c r="N132" s="71"/>
      <c r="O132" s="71"/>
      <c r="P132" s="370"/>
      <c r="Q132" s="371"/>
    </row>
    <row r="133" spans="1:17" s="1" customFormat="1" ht="13.5" hidden="1" thickBot="1">
      <c r="A133" s="270" t="s">
        <v>154</v>
      </c>
      <c r="B133" s="48" t="s">
        <v>134</v>
      </c>
      <c r="C133" s="53" t="s">
        <v>130</v>
      </c>
      <c r="D133" s="49" t="s">
        <v>193</v>
      </c>
      <c r="E133" s="54" t="s">
        <v>152</v>
      </c>
      <c r="F133" s="55" t="s">
        <v>140</v>
      </c>
      <c r="G133" s="71"/>
      <c r="H133" s="52"/>
      <c r="I133" s="52"/>
      <c r="J133" s="71"/>
      <c r="K133" s="173"/>
      <c r="L133" s="187"/>
      <c r="M133" s="52"/>
      <c r="N133" s="71"/>
      <c r="O133" s="71"/>
      <c r="P133" s="370"/>
      <c r="Q133" s="371"/>
    </row>
    <row r="134" spans="1:17" s="1" customFormat="1" ht="12.75" customHeight="1" hidden="1">
      <c r="A134" s="270" t="s">
        <v>159</v>
      </c>
      <c r="B134" s="48" t="s">
        <v>134</v>
      </c>
      <c r="C134" s="53" t="s">
        <v>130</v>
      </c>
      <c r="D134" s="49" t="s">
        <v>193</v>
      </c>
      <c r="E134" s="54" t="s">
        <v>152</v>
      </c>
      <c r="F134" s="55" t="s">
        <v>140</v>
      </c>
      <c r="G134" s="71">
        <f>G135</f>
        <v>0</v>
      </c>
      <c r="H134" s="52">
        <f>H135</f>
        <v>0</v>
      </c>
      <c r="I134" s="52">
        <f>I135</f>
        <v>0</v>
      </c>
      <c r="J134" s="71">
        <f>J135</f>
        <v>0</v>
      </c>
      <c r="K134" s="173">
        <f>K135</f>
        <v>0</v>
      </c>
      <c r="L134" s="187"/>
      <c r="M134" s="52"/>
      <c r="N134" s="71"/>
      <c r="O134" s="71"/>
      <c r="P134" s="370"/>
      <c r="Q134" s="371"/>
    </row>
    <row r="135" spans="1:17" s="1" customFormat="1" ht="0.75" customHeight="1" hidden="1">
      <c r="A135" s="270" t="s">
        <v>161</v>
      </c>
      <c r="B135" s="48" t="s">
        <v>134</v>
      </c>
      <c r="C135" s="53" t="s">
        <v>130</v>
      </c>
      <c r="D135" s="49" t="s">
        <v>193</v>
      </c>
      <c r="E135" s="54" t="s">
        <v>152</v>
      </c>
      <c r="F135" s="55" t="s">
        <v>140</v>
      </c>
      <c r="G135" s="71"/>
      <c r="H135" s="52"/>
      <c r="I135" s="52"/>
      <c r="J135" s="71"/>
      <c r="K135" s="173"/>
      <c r="L135" s="187"/>
      <c r="M135" s="52"/>
      <c r="N135" s="71"/>
      <c r="O135" s="71"/>
      <c r="P135" s="370"/>
      <c r="Q135" s="371"/>
    </row>
    <row r="136" spans="1:17" s="1" customFormat="1" ht="0.75" customHeight="1" hidden="1">
      <c r="A136" s="270" t="s">
        <v>151</v>
      </c>
      <c r="B136" s="48" t="s">
        <v>134</v>
      </c>
      <c r="C136" s="53" t="s">
        <v>130</v>
      </c>
      <c r="D136" s="53" t="s">
        <v>193</v>
      </c>
      <c r="E136" s="53" t="s">
        <v>195</v>
      </c>
      <c r="F136" s="55" t="s">
        <v>133</v>
      </c>
      <c r="G136" s="71">
        <f>G137</f>
        <v>0</v>
      </c>
      <c r="H136" s="52">
        <f>H137</f>
        <v>0</v>
      </c>
      <c r="I136" s="52">
        <f>I137</f>
        <v>0</v>
      </c>
      <c r="J136" s="71">
        <f>J137</f>
        <v>0</v>
      </c>
      <c r="K136" s="173">
        <f>K137</f>
        <v>0</v>
      </c>
      <c r="L136" s="187"/>
      <c r="M136" s="52"/>
      <c r="N136" s="71"/>
      <c r="O136" s="71"/>
      <c r="P136" s="370"/>
      <c r="Q136" s="371"/>
    </row>
    <row r="137" spans="1:17" s="1" customFormat="1" ht="13.5" hidden="1" thickBot="1">
      <c r="A137" s="270" t="s">
        <v>139</v>
      </c>
      <c r="B137" s="48" t="s">
        <v>134</v>
      </c>
      <c r="C137" s="53" t="s">
        <v>130</v>
      </c>
      <c r="D137" s="53" t="s">
        <v>193</v>
      </c>
      <c r="E137" s="53" t="s">
        <v>195</v>
      </c>
      <c r="F137" s="55" t="s">
        <v>140</v>
      </c>
      <c r="G137" s="71">
        <f>G138+G146</f>
        <v>0</v>
      </c>
      <c r="H137" s="52">
        <f>H138+H146</f>
        <v>0</v>
      </c>
      <c r="I137" s="52">
        <f>I138+I146</f>
        <v>0</v>
      </c>
      <c r="J137" s="71">
        <f>J138+J146</f>
        <v>0</v>
      </c>
      <c r="K137" s="173">
        <f>K138+K146</f>
        <v>0</v>
      </c>
      <c r="L137" s="187"/>
      <c r="M137" s="52"/>
      <c r="N137" s="71"/>
      <c r="O137" s="71"/>
      <c r="P137" s="370"/>
      <c r="Q137" s="371"/>
    </row>
    <row r="138" spans="1:17" s="1" customFormat="1" ht="13.5" hidden="1" thickBot="1">
      <c r="A138" s="270" t="s">
        <v>141</v>
      </c>
      <c r="B138" s="48" t="s">
        <v>134</v>
      </c>
      <c r="C138" s="53" t="s">
        <v>130</v>
      </c>
      <c r="D138" s="53" t="s">
        <v>193</v>
      </c>
      <c r="E138" s="53" t="s">
        <v>195</v>
      </c>
      <c r="F138" s="55" t="s">
        <v>140</v>
      </c>
      <c r="G138" s="133">
        <f>G139+G143</f>
        <v>0</v>
      </c>
      <c r="H138" s="83">
        <f>H139+H143</f>
        <v>0</v>
      </c>
      <c r="I138" s="83">
        <f>I139+I143</f>
        <v>0</v>
      </c>
      <c r="J138" s="133">
        <f>J139+J143</f>
        <v>0</v>
      </c>
      <c r="K138" s="179">
        <f>K139+K143</f>
        <v>0</v>
      </c>
      <c r="L138" s="190"/>
      <c r="M138" s="83"/>
      <c r="N138" s="133"/>
      <c r="O138" s="133"/>
      <c r="P138" s="392"/>
      <c r="Q138" s="393"/>
    </row>
    <row r="139" spans="1:17" s="1" customFormat="1" ht="13.5" hidden="1" thickBot="1">
      <c r="A139" s="270" t="s">
        <v>153</v>
      </c>
      <c r="B139" s="48" t="s">
        <v>134</v>
      </c>
      <c r="C139" s="53" t="s">
        <v>130</v>
      </c>
      <c r="D139" s="53" t="s">
        <v>193</v>
      </c>
      <c r="E139" s="53" t="s">
        <v>195</v>
      </c>
      <c r="F139" s="55" t="s">
        <v>140</v>
      </c>
      <c r="G139" s="71">
        <f>SUM(G140:G142)</f>
        <v>0</v>
      </c>
      <c r="H139" s="52">
        <f>SUM(H140:H142)</f>
        <v>0</v>
      </c>
      <c r="I139" s="52">
        <f>SUM(I140:I142)</f>
        <v>0</v>
      </c>
      <c r="J139" s="71">
        <f>SUM(J140:J142)</f>
        <v>0</v>
      </c>
      <c r="K139" s="173">
        <f>SUM(K140:K142)</f>
        <v>0</v>
      </c>
      <c r="L139" s="187"/>
      <c r="M139" s="52"/>
      <c r="N139" s="71"/>
      <c r="O139" s="71"/>
      <c r="P139" s="370"/>
      <c r="Q139" s="371"/>
    </row>
    <row r="140" spans="1:17" s="1" customFormat="1" ht="13.5" hidden="1" thickBot="1">
      <c r="A140" s="270" t="s">
        <v>143</v>
      </c>
      <c r="B140" s="48" t="s">
        <v>134</v>
      </c>
      <c r="C140" s="53" t="s">
        <v>130</v>
      </c>
      <c r="D140" s="53" t="s">
        <v>193</v>
      </c>
      <c r="E140" s="53" t="s">
        <v>195</v>
      </c>
      <c r="F140" s="55" t="s">
        <v>140</v>
      </c>
      <c r="G140" s="71">
        <v>0</v>
      </c>
      <c r="H140" s="52">
        <v>0</v>
      </c>
      <c r="I140" s="52">
        <v>0</v>
      </c>
      <c r="J140" s="71">
        <v>0</v>
      </c>
      <c r="K140" s="173">
        <v>0</v>
      </c>
      <c r="L140" s="187"/>
      <c r="M140" s="52"/>
      <c r="N140" s="71"/>
      <c r="O140" s="71"/>
      <c r="P140" s="370"/>
      <c r="Q140" s="371"/>
    </row>
    <row r="141" spans="1:17" s="1" customFormat="1" ht="13.5" hidden="1" thickBot="1">
      <c r="A141" s="270" t="s">
        <v>144</v>
      </c>
      <c r="B141" s="48" t="s">
        <v>134</v>
      </c>
      <c r="C141" s="53" t="s">
        <v>130</v>
      </c>
      <c r="D141" s="53" t="s">
        <v>193</v>
      </c>
      <c r="E141" s="53" t="s">
        <v>195</v>
      </c>
      <c r="F141" s="55" t="s">
        <v>140</v>
      </c>
      <c r="G141" s="71"/>
      <c r="H141" s="52"/>
      <c r="I141" s="52"/>
      <c r="J141" s="71"/>
      <c r="K141" s="173"/>
      <c r="L141" s="187"/>
      <c r="M141" s="52"/>
      <c r="N141" s="71"/>
      <c r="O141" s="71"/>
      <c r="P141" s="370"/>
      <c r="Q141" s="371"/>
    </row>
    <row r="142" spans="1:17" s="1" customFormat="1" ht="13.5" hidden="1" thickBot="1">
      <c r="A142" s="270" t="s">
        <v>145</v>
      </c>
      <c r="B142" s="48" t="s">
        <v>134</v>
      </c>
      <c r="C142" s="53" t="s">
        <v>130</v>
      </c>
      <c r="D142" s="53" t="s">
        <v>193</v>
      </c>
      <c r="E142" s="53" t="s">
        <v>195</v>
      </c>
      <c r="F142" s="55" t="s">
        <v>140</v>
      </c>
      <c r="G142" s="71">
        <v>0</v>
      </c>
      <c r="H142" s="52">
        <v>0</v>
      </c>
      <c r="I142" s="52">
        <v>0</v>
      </c>
      <c r="J142" s="71">
        <v>0</v>
      </c>
      <c r="K142" s="173">
        <v>0</v>
      </c>
      <c r="L142" s="187"/>
      <c r="M142" s="52"/>
      <c r="N142" s="71"/>
      <c r="O142" s="71"/>
      <c r="P142" s="370"/>
      <c r="Q142" s="371"/>
    </row>
    <row r="143" spans="1:17" s="1" customFormat="1" ht="13.5" hidden="1" thickBot="1">
      <c r="A143" s="270" t="s">
        <v>153</v>
      </c>
      <c r="B143" s="48" t="s">
        <v>134</v>
      </c>
      <c r="C143" s="53" t="s">
        <v>130</v>
      </c>
      <c r="D143" s="53" t="s">
        <v>193</v>
      </c>
      <c r="E143" s="53" t="s">
        <v>195</v>
      </c>
      <c r="F143" s="55" t="s">
        <v>140</v>
      </c>
      <c r="G143" s="71">
        <f>G144+G145</f>
        <v>0</v>
      </c>
      <c r="H143" s="52">
        <f>H144+H145</f>
        <v>0</v>
      </c>
      <c r="I143" s="52">
        <f>I144+I145</f>
        <v>0</v>
      </c>
      <c r="J143" s="71">
        <f>J144+J145</f>
        <v>0</v>
      </c>
      <c r="K143" s="173">
        <f>K144+K145</f>
        <v>0</v>
      </c>
      <c r="L143" s="187"/>
      <c r="M143" s="52"/>
      <c r="N143" s="71"/>
      <c r="O143" s="71"/>
      <c r="P143" s="370"/>
      <c r="Q143" s="371"/>
    </row>
    <row r="144" spans="1:17" s="1" customFormat="1" ht="13.5" hidden="1" thickBot="1">
      <c r="A144" s="270" t="s">
        <v>154</v>
      </c>
      <c r="B144" s="48" t="s">
        <v>134</v>
      </c>
      <c r="C144" s="53" t="s">
        <v>130</v>
      </c>
      <c r="D144" s="53" t="s">
        <v>193</v>
      </c>
      <c r="E144" s="53" t="s">
        <v>195</v>
      </c>
      <c r="F144" s="55" t="s">
        <v>140</v>
      </c>
      <c r="G144" s="71">
        <v>0</v>
      </c>
      <c r="H144" s="52">
        <v>0</v>
      </c>
      <c r="I144" s="52">
        <v>0</v>
      </c>
      <c r="J144" s="71">
        <v>0</v>
      </c>
      <c r="K144" s="173">
        <v>0</v>
      </c>
      <c r="L144" s="187"/>
      <c r="M144" s="52"/>
      <c r="N144" s="71"/>
      <c r="O144" s="71"/>
      <c r="P144" s="370"/>
      <c r="Q144" s="371"/>
    </row>
    <row r="145" spans="1:17" s="1" customFormat="1" ht="13.5" hidden="1" thickBot="1">
      <c r="A145" s="270" t="s">
        <v>157</v>
      </c>
      <c r="B145" s="48" t="s">
        <v>134</v>
      </c>
      <c r="C145" s="53" t="s">
        <v>130</v>
      </c>
      <c r="D145" s="53" t="s">
        <v>193</v>
      </c>
      <c r="E145" s="53" t="s">
        <v>195</v>
      </c>
      <c r="F145" s="55" t="s">
        <v>140</v>
      </c>
      <c r="G145" s="71">
        <v>0</v>
      </c>
      <c r="H145" s="52">
        <v>0</v>
      </c>
      <c r="I145" s="52">
        <v>0</v>
      </c>
      <c r="J145" s="71">
        <v>0</v>
      </c>
      <c r="K145" s="173">
        <v>0</v>
      </c>
      <c r="L145" s="187"/>
      <c r="M145" s="52"/>
      <c r="N145" s="71"/>
      <c r="O145" s="71"/>
      <c r="P145" s="370"/>
      <c r="Q145" s="371"/>
    </row>
    <row r="146" spans="1:17" s="1" customFormat="1" ht="13.5" hidden="1" thickBot="1">
      <c r="A146" s="270" t="s">
        <v>159</v>
      </c>
      <c r="B146" s="48" t="s">
        <v>134</v>
      </c>
      <c r="C146" s="53" t="s">
        <v>130</v>
      </c>
      <c r="D146" s="53" t="s">
        <v>193</v>
      </c>
      <c r="E146" s="53" t="s">
        <v>195</v>
      </c>
      <c r="F146" s="55" t="s">
        <v>140</v>
      </c>
      <c r="G146" s="71">
        <f>G147+G148</f>
        <v>0</v>
      </c>
      <c r="H146" s="52">
        <f>H147+H148</f>
        <v>0</v>
      </c>
      <c r="I146" s="52">
        <f>I147+I148</f>
        <v>0</v>
      </c>
      <c r="J146" s="71">
        <f>J147+J148</f>
        <v>0</v>
      </c>
      <c r="K146" s="173">
        <f>K147+K148</f>
        <v>0</v>
      </c>
      <c r="L146" s="187"/>
      <c r="M146" s="52"/>
      <c r="N146" s="71"/>
      <c r="O146" s="71"/>
      <c r="P146" s="370"/>
      <c r="Q146" s="371"/>
    </row>
    <row r="147" spans="1:17" s="1" customFormat="1" ht="13.5" hidden="1" thickBot="1">
      <c r="A147" s="270" t="s">
        <v>196</v>
      </c>
      <c r="B147" s="48" t="s">
        <v>134</v>
      </c>
      <c r="C147" s="53" t="s">
        <v>130</v>
      </c>
      <c r="D147" s="53" t="s">
        <v>193</v>
      </c>
      <c r="E147" s="53" t="s">
        <v>195</v>
      </c>
      <c r="F147" s="55" t="s">
        <v>140</v>
      </c>
      <c r="G147" s="71">
        <v>0</v>
      </c>
      <c r="H147" s="52">
        <v>0</v>
      </c>
      <c r="I147" s="52">
        <v>0</v>
      </c>
      <c r="J147" s="71">
        <v>0</v>
      </c>
      <c r="K147" s="173">
        <v>0</v>
      </c>
      <c r="L147" s="187"/>
      <c r="M147" s="52"/>
      <c r="N147" s="71"/>
      <c r="O147" s="71"/>
      <c r="P147" s="370"/>
      <c r="Q147" s="371"/>
    </row>
    <row r="148" spans="1:17" s="1" customFormat="1" ht="15" customHeight="1" hidden="1">
      <c r="A148" s="270" t="s">
        <v>161</v>
      </c>
      <c r="B148" s="48" t="s">
        <v>134</v>
      </c>
      <c r="C148" s="53" t="s">
        <v>130</v>
      </c>
      <c r="D148" s="53" t="s">
        <v>193</v>
      </c>
      <c r="E148" s="53" t="s">
        <v>195</v>
      </c>
      <c r="F148" s="55" t="s">
        <v>140</v>
      </c>
      <c r="G148" s="71">
        <v>0</v>
      </c>
      <c r="H148" s="52">
        <v>0</v>
      </c>
      <c r="I148" s="52">
        <v>0</v>
      </c>
      <c r="J148" s="71">
        <v>0</v>
      </c>
      <c r="K148" s="173">
        <v>0</v>
      </c>
      <c r="L148" s="187"/>
      <c r="M148" s="52"/>
      <c r="N148" s="71"/>
      <c r="O148" s="71"/>
      <c r="P148" s="370"/>
      <c r="Q148" s="371"/>
    </row>
    <row r="149" spans="1:17" s="1" customFormat="1" ht="34.5" customHeight="1" hidden="1">
      <c r="A149" s="270" t="s">
        <v>172</v>
      </c>
      <c r="B149" s="48" t="s">
        <v>134</v>
      </c>
      <c r="C149" s="49" t="s">
        <v>130</v>
      </c>
      <c r="D149" s="53" t="s">
        <v>193</v>
      </c>
      <c r="E149" s="50" t="s">
        <v>136</v>
      </c>
      <c r="F149" s="51" t="s">
        <v>133</v>
      </c>
      <c r="G149" s="71">
        <f>G150+G168+G206+G238</f>
        <v>3482.8</v>
      </c>
      <c r="H149" s="52">
        <f>H150+H168+H206+H238</f>
        <v>3483</v>
      </c>
      <c r="I149" s="52">
        <f>I150+I168+I206+I238</f>
        <v>3482.8</v>
      </c>
      <c r="J149" s="71">
        <f>J150+J168+J206+J238</f>
        <v>266.6</v>
      </c>
      <c r="K149" s="173">
        <f>K150+K168+K206+K238</f>
        <v>3749.4</v>
      </c>
      <c r="L149" s="187"/>
      <c r="M149" s="52"/>
      <c r="N149" s="71"/>
      <c r="O149" s="71"/>
      <c r="P149" s="370"/>
      <c r="Q149" s="371"/>
    </row>
    <row r="150" spans="1:17" s="1" customFormat="1" ht="13.5" hidden="1" thickBot="1">
      <c r="A150" s="270" t="s">
        <v>151</v>
      </c>
      <c r="B150" s="48" t="s">
        <v>134</v>
      </c>
      <c r="C150" s="53" t="s">
        <v>130</v>
      </c>
      <c r="D150" s="53" t="s">
        <v>193</v>
      </c>
      <c r="E150" s="54" t="s">
        <v>152</v>
      </c>
      <c r="F150" s="55" t="s">
        <v>133</v>
      </c>
      <c r="G150" s="71">
        <f>G151</f>
        <v>0</v>
      </c>
      <c r="H150" s="52">
        <f>H151</f>
        <v>0</v>
      </c>
      <c r="I150" s="52">
        <f>I151</f>
        <v>0</v>
      </c>
      <c r="J150" s="71">
        <f>J151</f>
        <v>0</v>
      </c>
      <c r="K150" s="173">
        <f>K151</f>
        <v>0</v>
      </c>
      <c r="L150" s="187"/>
      <c r="M150" s="52"/>
      <c r="N150" s="71"/>
      <c r="O150" s="71"/>
      <c r="P150" s="370"/>
      <c r="Q150" s="371"/>
    </row>
    <row r="151" spans="1:17" s="1" customFormat="1" ht="13.5" hidden="1" thickBot="1">
      <c r="A151" s="270" t="s">
        <v>139</v>
      </c>
      <c r="B151" s="48" t="s">
        <v>134</v>
      </c>
      <c r="C151" s="53" t="s">
        <v>130</v>
      </c>
      <c r="D151" s="53" t="s">
        <v>193</v>
      </c>
      <c r="E151" s="54" t="s">
        <v>152</v>
      </c>
      <c r="F151" s="55" t="s">
        <v>140</v>
      </c>
      <c r="G151" s="71">
        <f>G152+G165</f>
        <v>0</v>
      </c>
      <c r="H151" s="52">
        <f>H152+H165</f>
        <v>0</v>
      </c>
      <c r="I151" s="52">
        <f>I152+I165</f>
        <v>0</v>
      </c>
      <c r="J151" s="71">
        <f>J152+J165</f>
        <v>0</v>
      </c>
      <c r="K151" s="173">
        <f>K152+K165</f>
        <v>0</v>
      </c>
      <c r="L151" s="187"/>
      <c r="M151" s="52"/>
      <c r="N151" s="71"/>
      <c r="O151" s="71"/>
      <c r="P151" s="370"/>
      <c r="Q151" s="371"/>
    </row>
    <row r="152" spans="1:17" s="1" customFormat="1" ht="13.5" hidden="1" thickBot="1">
      <c r="A152" s="270" t="s">
        <v>141</v>
      </c>
      <c r="B152" s="48" t="s">
        <v>134</v>
      </c>
      <c r="C152" s="53" t="s">
        <v>130</v>
      </c>
      <c r="D152" s="53" t="s">
        <v>193</v>
      </c>
      <c r="E152" s="54" t="s">
        <v>152</v>
      </c>
      <c r="F152" s="55" t="s">
        <v>140</v>
      </c>
      <c r="G152" s="71">
        <f>G153+G157+G164</f>
        <v>0</v>
      </c>
      <c r="H152" s="52">
        <f>H153+H157+H164</f>
        <v>0</v>
      </c>
      <c r="I152" s="52">
        <f>I153+I157+I164</f>
        <v>0</v>
      </c>
      <c r="J152" s="71">
        <f>J153+J157+J164</f>
        <v>0</v>
      </c>
      <c r="K152" s="173">
        <f>K153+K157+K164</f>
        <v>0</v>
      </c>
      <c r="L152" s="187"/>
      <c r="M152" s="52"/>
      <c r="N152" s="71"/>
      <c r="O152" s="71"/>
      <c r="P152" s="370"/>
      <c r="Q152" s="371"/>
    </row>
    <row r="153" spans="1:17" s="1" customFormat="1" ht="13.5" hidden="1" thickBot="1">
      <c r="A153" s="270" t="s">
        <v>153</v>
      </c>
      <c r="B153" s="48" t="s">
        <v>134</v>
      </c>
      <c r="C153" s="53" t="s">
        <v>130</v>
      </c>
      <c r="D153" s="53" t="s">
        <v>193</v>
      </c>
      <c r="E153" s="54" t="s">
        <v>152</v>
      </c>
      <c r="F153" s="55" t="s">
        <v>140</v>
      </c>
      <c r="G153" s="71">
        <f>SUM(G154:G156)</f>
        <v>0</v>
      </c>
      <c r="H153" s="52">
        <f>SUM(H154:H156)</f>
        <v>0</v>
      </c>
      <c r="I153" s="52">
        <f>SUM(I154:I156)</f>
        <v>0</v>
      </c>
      <c r="J153" s="71">
        <f>SUM(J154:J156)</f>
        <v>0</v>
      </c>
      <c r="K153" s="173">
        <f>SUM(K154:K156)</f>
        <v>0</v>
      </c>
      <c r="L153" s="187"/>
      <c r="M153" s="52"/>
      <c r="N153" s="71"/>
      <c r="O153" s="71"/>
      <c r="P153" s="370"/>
      <c r="Q153" s="371"/>
    </row>
    <row r="154" spans="1:17" s="1" customFormat="1" ht="13.5" hidden="1" thickBot="1">
      <c r="A154" s="270" t="s">
        <v>143</v>
      </c>
      <c r="B154" s="48" t="s">
        <v>134</v>
      </c>
      <c r="C154" s="53" t="s">
        <v>130</v>
      </c>
      <c r="D154" s="53" t="s">
        <v>193</v>
      </c>
      <c r="E154" s="54" t="s">
        <v>152</v>
      </c>
      <c r="F154" s="55" t="s">
        <v>140</v>
      </c>
      <c r="G154" s="71"/>
      <c r="H154" s="52"/>
      <c r="I154" s="52"/>
      <c r="J154" s="71"/>
      <c r="K154" s="173"/>
      <c r="L154" s="187"/>
      <c r="M154" s="52"/>
      <c r="N154" s="71"/>
      <c r="O154" s="71"/>
      <c r="P154" s="370"/>
      <c r="Q154" s="371"/>
    </row>
    <row r="155" spans="1:17" s="1" customFormat="1" ht="13.5" hidden="1" thickBot="1">
      <c r="A155" s="270" t="s">
        <v>144</v>
      </c>
      <c r="B155" s="48" t="s">
        <v>134</v>
      </c>
      <c r="C155" s="53" t="s">
        <v>130</v>
      </c>
      <c r="D155" s="53" t="s">
        <v>193</v>
      </c>
      <c r="E155" s="54" t="s">
        <v>152</v>
      </c>
      <c r="F155" s="55" t="s">
        <v>140</v>
      </c>
      <c r="G155" s="71"/>
      <c r="H155" s="52"/>
      <c r="I155" s="52"/>
      <c r="J155" s="71"/>
      <c r="K155" s="173"/>
      <c r="L155" s="187"/>
      <c r="M155" s="52"/>
      <c r="N155" s="71"/>
      <c r="O155" s="71"/>
      <c r="P155" s="370"/>
      <c r="Q155" s="371"/>
    </row>
    <row r="156" spans="1:17" s="1" customFormat="1" ht="13.5" hidden="1" thickBot="1">
      <c r="A156" s="270" t="s">
        <v>145</v>
      </c>
      <c r="B156" s="48" t="s">
        <v>134</v>
      </c>
      <c r="C156" s="53" t="s">
        <v>130</v>
      </c>
      <c r="D156" s="53" t="s">
        <v>193</v>
      </c>
      <c r="E156" s="54" t="s">
        <v>152</v>
      </c>
      <c r="F156" s="55" t="s">
        <v>140</v>
      </c>
      <c r="G156" s="71"/>
      <c r="H156" s="52"/>
      <c r="I156" s="52"/>
      <c r="J156" s="71"/>
      <c r="K156" s="173"/>
      <c r="L156" s="187"/>
      <c r="M156" s="52"/>
      <c r="N156" s="71"/>
      <c r="O156" s="71"/>
      <c r="P156" s="370"/>
      <c r="Q156" s="371"/>
    </row>
    <row r="157" spans="1:17" s="1" customFormat="1" ht="13.5" hidden="1" thickBot="1">
      <c r="A157" s="270" t="s">
        <v>153</v>
      </c>
      <c r="B157" s="48" t="s">
        <v>134</v>
      </c>
      <c r="C157" s="53" t="s">
        <v>130</v>
      </c>
      <c r="D157" s="53" t="s">
        <v>193</v>
      </c>
      <c r="E157" s="54" t="s">
        <v>152</v>
      </c>
      <c r="F157" s="55" t="s">
        <v>140</v>
      </c>
      <c r="G157" s="71">
        <f>SUM(G158:G163)</f>
        <v>0</v>
      </c>
      <c r="H157" s="52">
        <f>SUM(H158:H163)</f>
        <v>0</v>
      </c>
      <c r="I157" s="52">
        <f>SUM(I158:I163)</f>
        <v>0</v>
      </c>
      <c r="J157" s="71">
        <f>SUM(J158:J163)</f>
        <v>0</v>
      </c>
      <c r="K157" s="173">
        <f>SUM(K158:K163)</f>
        <v>0</v>
      </c>
      <c r="L157" s="187"/>
      <c r="M157" s="52"/>
      <c r="N157" s="71"/>
      <c r="O157" s="71"/>
      <c r="P157" s="370"/>
      <c r="Q157" s="371"/>
    </row>
    <row r="158" spans="1:17" s="1" customFormat="1" ht="13.5" hidden="1" thickBot="1">
      <c r="A158" s="270" t="s">
        <v>154</v>
      </c>
      <c r="B158" s="48" t="s">
        <v>134</v>
      </c>
      <c r="C158" s="53" t="s">
        <v>130</v>
      </c>
      <c r="D158" s="53" t="s">
        <v>193</v>
      </c>
      <c r="E158" s="54" t="s">
        <v>152</v>
      </c>
      <c r="F158" s="55" t="s">
        <v>140</v>
      </c>
      <c r="G158" s="71"/>
      <c r="H158" s="52"/>
      <c r="I158" s="52"/>
      <c r="J158" s="71"/>
      <c r="K158" s="173"/>
      <c r="L158" s="187"/>
      <c r="M158" s="52"/>
      <c r="N158" s="71"/>
      <c r="O158" s="71"/>
      <c r="P158" s="370"/>
      <c r="Q158" s="371"/>
    </row>
    <row r="159" spans="1:17" s="1" customFormat="1" ht="13.5" hidden="1" thickBot="1">
      <c r="A159" s="270" t="s">
        <v>155</v>
      </c>
      <c r="B159" s="48" t="s">
        <v>134</v>
      </c>
      <c r="C159" s="53" t="s">
        <v>130</v>
      </c>
      <c r="D159" s="53" t="s">
        <v>193</v>
      </c>
      <c r="E159" s="54" t="s">
        <v>152</v>
      </c>
      <c r="F159" s="55" t="s">
        <v>140</v>
      </c>
      <c r="G159" s="71"/>
      <c r="H159" s="52"/>
      <c r="I159" s="52"/>
      <c r="J159" s="71"/>
      <c r="K159" s="173"/>
      <c r="L159" s="187"/>
      <c r="M159" s="52"/>
      <c r="N159" s="71"/>
      <c r="O159" s="71"/>
      <c r="P159" s="370"/>
      <c r="Q159" s="371"/>
    </row>
    <row r="160" spans="1:17" s="1" customFormat="1" ht="13.5" hidden="1" thickBot="1">
      <c r="A160" s="270" t="s">
        <v>173</v>
      </c>
      <c r="B160" s="48" t="s">
        <v>134</v>
      </c>
      <c r="C160" s="53" t="s">
        <v>130</v>
      </c>
      <c r="D160" s="53" t="s">
        <v>193</v>
      </c>
      <c r="E160" s="54" t="s">
        <v>152</v>
      </c>
      <c r="F160" s="55" t="s">
        <v>140</v>
      </c>
      <c r="G160" s="71"/>
      <c r="H160" s="52"/>
      <c r="I160" s="52"/>
      <c r="J160" s="71"/>
      <c r="K160" s="173"/>
      <c r="L160" s="187"/>
      <c r="M160" s="52"/>
      <c r="N160" s="71"/>
      <c r="O160" s="71"/>
      <c r="P160" s="370"/>
      <c r="Q160" s="371"/>
    </row>
    <row r="161" spans="1:17" s="1" customFormat="1" ht="13.5" hidden="1" thickBot="1">
      <c r="A161" s="270" t="s">
        <v>174</v>
      </c>
      <c r="B161" s="48" t="s">
        <v>134</v>
      </c>
      <c r="C161" s="53" t="s">
        <v>130</v>
      </c>
      <c r="D161" s="53" t="s">
        <v>193</v>
      </c>
      <c r="E161" s="54" t="s">
        <v>152</v>
      </c>
      <c r="F161" s="55" t="s">
        <v>140</v>
      </c>
      <c r="G161" s="71"/>
      <c r="H161" s="52"/>
      <c r="I161" s="52"/>
      <c r="J161" s="71"/>
      <c r="K161" s="173"/>
      <c r="L161" s="187"/>
      <c r="M161" s="52"/>
      <c r="N161" s="71"/>
      <c r="O161" s="71"/>
      <c r="P161" s="370"/>
      <c r="Q161" s="371"/>
    </row>
    <row r="162" spans="1:17" s="1" customFormat="1" ht="13.5" hidden="1" thickBot="1">
      <c r="A162" s="270" t="s">
        <v>156</v>
      </c>
      <c r="B162" s="48" t="s">
        <v>134</v>
      </c>
      <c r="C162" s="53" t="s">
        <v>130</v>
      </c>
      <c r="D162" s="53" t="s">
        <v>193</v>
      </c>
      <c r="E162" s="54" t="s">
        <v>152</v>
      </c>
      <c r="F162" s="55" t="s">
        <v>140</v>
      </c>
      <c r="G162" s="71"/>
      <c r="H162" s="52"/>
      <c r="I162" s="52"/>
      <c r="J162" s="71"/>
      <c r="K162" s="173"/>
      <c r="L162" s="187"/>
      <c r="M162" s="52"/>
      <c r="N162" s="71"/>
      <c r="O162" s="71"/>
      <c r="P162" s="370"/>
      <c r="Q162" s="371"/>
    </row>
    <row r="163" spans="1:17" s="1" customFormat="1" ht="13.5" hidden="1" thickBot="1">
      <c r="A163" s="270" t="s">
        <v>157</v>
      </c>
      <c r="B163" s="48" t="s">
        <v>134</v>
      </c>
      <c r="C163" s="53" t="s">
        <v>130</v>
      </c>
      <c r="D163" s="53" t="s">
        <v>193</v>
      </c>
      <c r="E163" s="54" t="s">
        <v>152</v>
      </c>
      <c r="F163" s="55" t="s">
        <v>140</v>
      </c>
      <c r="G163" s="71"/>
      <c r="H163" s="52"/>
      <c r="I163" s="52"/>
      <c r="J163" s="71"/>
      <c r="K163" s="173"/>
      <c r="L163" s="187"/>
      <c r="M163" s="52"/>
      <c r="N163" s="71"/>
      <c r="O163" s="71"/>
      <c r="P163" s="370"/>
      <c r="Q163" s="371"/>
    </row>
    <row r="164" spans="1:17" s="1" customFormat="1" ht="13.5" hidden="1" thickBot="1">
      <c r="A164" s="270" t="s">
        <v>158</v>
      </c>
      <c r="B164" s="48" t="s">
        <v>134</v>
      </c>
      <c r="C164" s="53" t="s">
        <v>130</v>
      </c>
      <c r="D164" s="53" t="s">
        <v>193</v>
      </c>
      <c r="E164" s="54" t="s">
        <v>152</v>
      </c>
      <c r="F164" s="55" t="s">
        <v>140</v>
      </c>
      <c r="G164" s="71"/>
      <c r="H164" s="52"/>
      <c r="I164" s="52"/>
      <c r="J164" s="71"/>
      <c r="K164" s="173"/>
      <c r="L164" s="187"/>
      <c r="M164" s="52"/>
      <c r="N164" s="71"/>
      <c r="O164" s="71"/>
      <c r="P164" s="370"/>
      <c r="Q164" s="371"/>
    </row>
    <row r="165" spans="1:17" s="1" customFormat="1" ht="13.5" hidden="1" thickBot="1">
      <c r="A165" s="270" t="s">
        <v>159</v>
      </c>
      <c r="B165" s="48" t="s">
        <v>134</v>
      </c>
      <c r="C165" s="53" t="s">
        <v>130</v>
      </c>
      <c r="D165" s="53" t="s">
        <v>193</v>
      </c>
      <c r="E165" s="54" t="s">
        <v>152</v>
      </c>
      <c r="F165" s="55" t="s">
        <v>140</v>
      </c>
      <c r="G165" s="71">
        <f>SUM(G166:G167)</f>
        <v>0</v>
      </c>
      <c r="H165" s="52">
        <f>SUM(H166:H167)</f>
        <v>0</v>
      </c>
      <c r="I165" s="52">
        <f>SUM(I166:I167)</f>
        <v>0</v>
      </c>
      <c r="J165" s="71">
        <f>SUM(J166:J167)</f>
        <v>0</v>
      </c>
      <c r="K165" s="173">
        <f>SUM(K166:K167)</f>
        <v>0</v>
      </c>
      <c r="L165" s="187"/>
      <c r="M165" s="52"/>
      <c r="N165" s="71"/>
      <c r="O165" s="71"/>
      <c r="P165" s="370"/>
      <c r="Q165" s="371"/>
    </row>
    <row r="166" spans="1:17" s="1" customFormat="1" ht="13.5" hidden="1" thickBot="1">
      <c r="A166" s="270" t="s">
        <v>160</v>
      </c>
      <c r="B166" s="48" t="s">
        <v>134</v>
      </c>
      <c r="C166" s="53" t="s">
        <v>130</v>
      </c>
      <c r="D166" s="53" t="s">
        <v>193</v>
      </c>
      <c r="E166" s="54" t="s">
        <v>152</v>
      </c>
      <c r="F166" s="55" t="s">
        <v>140</v>
      </c>
      <c r="G166" s="71"/>
      <c r="H166" s="52"/>
      <c r="I166" s="52"/>
      <c r="J166" s="71"/>
      <c r="K166" s="173"/>
      <c r="L166" s="187"/>
      <c r="M166" s="52"/>
      <c r="N166" s="71"/>
      <c r="O166" s="71"/>
      <c r="P166" s="370"/>
      <c r="Q166" s="371"/>
    </row>
    <row r="167" spans="1:17" s="1" customFormat="1" ht="9.75" customHeight="1" hidden="1">
      <c r="A167" s="281" t="s">
        <v>161</v>
      </c>
      <c r="B167" s="66" t="s">
        <v>134</v>
      </c>
      <c r="C167" s="67" t="s">
        <v>130</v>
      </c>
      <c r="D167" s="67" t="s">
        <v>193</v>
      </c>
      <c r="E167" s="68" t="s">
        <v>152</v>
      </c>
      <c r="F167" s="69" t="s">
        <v>140</v>
      </c>
      <c r="G167" s="71"/>
      <c r="H167" s="52"/>
      <c r="I167" s="52"/>
      <c r="J167" s="71"/>
      <c r="K167" s="173"/>
      <c r="L167" s="187"/>
      <c r="M167" s="52"/>
      <c r="N167" s="71"/>
      <c r="O167" s="71"/>
      <c r="P167" s="370"/>
      <c r="Q167" s="371"/>
    </row>
    <row r="168" spans="1:17" s="1" customFormat="1" ht="25.5">
      <c r="A168" s="338" t="s">
        <v>554</v>
      </c>
      <c r="B168" s="43" t="s">
        <v>134</v>
      </c>
      <c r="C168" s="44" t="s">
        <v>130</v>
      </c>
      <c r="D168" s="44" t="s">
        <v>193</v>
      </c>
      <c r="E168" s="45" t="s">
        <v>553</v>
      </c>
      <c r="F168" s="46"/>
      <c r="G168" s="71">
        <f aca="true" t="shared" si="47" ref="G168:K169">G169</f>
        <v>563.6</v>
      </c>
      <c r="H168" s="52">
        <f t="shared" si="47"/>
        <v>563.6</v>
      </c>
      <c r="I168" s="52">
        <f t="shared" si="47"/>
        <v>563.6</v>
      </c>
      <c r="J168" s="71">
        <f t="shared" si="47"/>
        <v>40.5</v>
      </c>
      <c r="K168" s="173">
        <f>K196+K199</f>
        <v>604.1</v>
      </c>
      <c r="L168" s="173">
        <f>L196+L199</f>
        <v>0</v>
      </c>
      <c r="M168" s="173">
        <f>M196+M199</f>
        <v>0</v>
      </c>
      <c r="N168" s="173">
        <f>N196+N199</f>
        <v>637.3000000000001</v>
      </c>
      <c r="O168" s="71">
        <f>O193</f>
        <v>637.3000000000001</v>
      </c>
      <c r="P168" s="370">
        <f>P193</f>
        <v>637.3000000000001</v>
      </c>
      <c r="Q168" s="371">
        <f>Q193</f>
        <v>637.3000000000001</v>
      </c>
    </row>
    <row r="169" spans="1:17" s="1" customFormat="1" ht="12.75" hidden="1">
      <c r="A169" s="275" t="s">
        <v>151</v>
      </c>
      <c r="B169" s="73" t="s">
        <v>134</v>
      </c>
      <c r="C169" s="74" t="s">
        <v>130</v>
      </c>
      <c r="D169" s="74" t="s">
        <v>193</v>
      </c>
      <c r="E169" s="79" t="s">
        <v>197</v>
      </c>
      <c r="F169" s="75" t="s">
        <v>133</v>
      </c>
      <c r="G169" s="65">
        <f t="shared" si="47"/>
        <v>563.6</v>
      </c>
      <c r="H169" s="59">
        <f t="shared" si="47"/>
        <v>563.6</v>
      </c>
      <c r="I169" s="59">
        <f t="shared" si="47"/>
        <v>563.6</v>
      </c>
      <c r="J169" s="65">
        <f t="shared" si="47"/>
        <v>40.5</v>
      </c>
      <c r="K169" s="164">
        <f t="shared" si="47"/>
        <v>604.1</v>
      </c>
      <c r="L169" s="189"/>
      <c r="M169" s="59"/>
      <c r="N169" s="65"/>
      <c r="O169" s="65"/>
      <c r="P169" s="374"/>
      <c r="Q169" s="375"/>
    </row>
    <row r="170" spans="1:17" s="1" customFormat="1" ht="15" customHeight="1" hidden="1">
      <c r="A170" s="270" t="s">
        <v>139</v>
      </c>
      <c r="B170" s="99" t="s">
        <v>134</v>
      </c>
      <c r="C170" s="53" t="s">
        <v>130</v>
      </c>
      <c r="D170" s="53" t="s">
        <v>193</v>
      </c>
      <c r="E170" s="54" t="s">
        <v>197</v>
      </c>
      <c r="F170" s="55" t="s">
        <v>133</v>
      </c>
      <c r="G170" s="65">
        <f>G196+G199</f>
        <v>563.6</v>
      </c>
      <c r="H170" s="59">
        <f>H196+H199</f>
        <v>563.6</v>
      </c>
      <c r="I170" s="59">
        <f>I196+I199</f>
        <v>563.6</v>
      </c>
      <c r="J170" s="65">
        <f>J196+J199</f>
        <v>40.5</v>
      </c>
      <c r="K170" s="164">
        <f>K196+K199</f>
        <v>604.1</v>
      </c>
      <c r="L170" s="189"/>
      <c r="M170" s="59"/>
      <c r="N170" s="65"/>
      <c r="O170" s="65"/>
      <c r="P170" s="374"/>
      <c r="Q170" s="375"/>
    </row>
    <row r="171" spans="1:17" s="1" customFormat="1" ht="0.75" customHeight="1" hidden="1">
      <c r="A171" s="270" t="s">
        <v>141</v>
      </c>
      <c r="B171" s="99" t="s">
        <v>134</v>
      </c>
      <c r="C171" s="53" t="s">
        <v>130</v>
      </c>
      <c r="D171" s="53" t="s">
        <v>193</v>
      </c>
      <c r="E171" s="54" t="s">
        <v>197</v>
      </c>
      <c r="F171" s="55" t="s">
        <v>140</v>
      </c>
      <c r="G171" s="71">
        <f>G172+G185</f>
        <v>0</v>
      </c>
      <c r="H171" s="52">
        <f>H172+H185</f>
        <v>0</v>
      </c>
      <c r="I171" s="52">
        <f>I172+I185</f>
        <v>0</v>
      </c>
      <c r="J171" s="71">
        <f>J172+J185</f>
        <v>0</v>
      </c>
      <c r="K171" s="173">
        <f>K172+K185</f>
        <v>0</v>
      </c>
      <c r="L171" s="187"/>
      <c r="M171" s="52"/>
      <c r="N171" s="71"/>
      <c r="O171" s="71"/>
      <c r="P171" s="370"/>
      <c r="Q171" s="371"/>
    </row>
    <row r="172" spans="1:17" s="1" customFormat="1" ht="12.75" hidden="1">
      <c r="A172" s="270" t="s">
        <v>153</v>
      </c>
      <c r="B172" s="99" t="s">
        <v>134</v>
      </c>
      <c r="C172" s="53" t="s">
        <v>130</v>
      </c>
      <c r="D172" s="53" t="s">
        <v>193</v>
      </c>
      <c r="E172" s="54" t="s">
        <v>197</v>
      </c>
      <c r="F172" s="55" t="s">
        <v>140</v>
      </c>
      <c r="G172" s="71">
        <f>SUM(G173:G176)</f>
        <v>0</v>
      </c>
      <c r="H172" s="52">
        <f>SUM(H173:H176)</f>
        <v>0</v>
      </c>
      <c r="I172" s="52">
        <f>SUM(I173:I176)</f>
        <v>0</v>
      </c>
      <c r="J172" s="71">
        <f>SUM(J173:J176)</f>
        <v>0</v>
      </c>
      <c r="K172" s="173">
        <f>SUM(K173:K176)</f>
        <v>0</v>
      </c>
      <c r="L172" s="187"/>
      <c r="M172" s="52"/>
      <c r="N172" s="71"/>
      <c r="O172" s="71"/>
      <c r="P172" s="370"/>
      <c r="Q172" s="371"/>
    </row>
    <row r="173" spans="1:17" s="1" customFormat="1" ht="12.75" hidden="1">
      <c r="A173" s="270" t="s">
        <v>143</v>
      </c>
      <c r="B173" s="99" t="s">
        <v>134</v>
      </c>
      <c r="C173" s="53" t="s">
        <v>130</v>
      </c>
      <c r="D173" s="53" t="s">
        <v>193</v>
      </c>
      <c r="E173" s="54" t="s">
        <v>197</v>
      </c>
      <c r="F173" s="55" t="s">
        <v>140</v>
      </c>
      <c r="G173" s="71"/>
      <c r="H173" s="52"/>
      <c r="I173" s="52"/>
      <c r="J173" s="71"/>
      <c r="K173" s="173"/>
      <c r="L173" s="187"/>
      <c r="M173" s="52"/>
      <c r="N173" s="71"/>
      <c r="O173" s="71"/>
      <c r="P173" s="370"/>
      <c r="Q173" s="371"/>
    </row>
    <row r="174" spans="1:17" s="1" customFormat="1" ht="12.75" hidden="1">
      <c r="A174" s="270" t="s">
        <v>144</v>
      </c>
      <c r="B174" s="99" t="s">
        <v>134</v>
      </c>
      <c r="C174" s="53" t="s">
        <v>130</v>
      </c>
      <c r="D174" s="53" t="s">
        <v>193</v>
      </c>
      <c r="E174" s="54" t="s">
        <v>197</v>
      </c>
      <c r="F174" s="55" t="s">
        <v>140</v>
      </c>
      <c r="G174" s="71"/>
      <c r="H174" s="52"/>
      <c r="I174" s="52"/>
      <c r="J174" s="71"/>
      <c r="K174" s="173"/>
      <c r="L174" s="187"/>
      <c r="M174" s="52"/>
      <c r="N174" s="71"/>
      <c r="O174" s="71"/>
      <c r="P174" s="370"/>
      <c r="Q174" s="371"/>
    </row>
    <row r="175" spans="1:17" s="1" customFormat="1" ht="12.75" hidden="1">
      <c r="A175" s="270" t="s">
        <v>144</v>
      </c>
      <c r="B175" s="99" t="s">
        <v>134</v>
      </c>
      <c r="C175" s="53" t="s">
        <v>130</v>
      </c>
      <c r="D175" s="53" t="s">
        <v>193</v>
      </c>
      <c r="E175" s="54" t="s">
        <v>197</v>
      </c>
      <c r="F175" s="55" t="s">
        <v>140</v>
      </c>
      <c r="G175" s="71"/>
      <c r="H175" s="52"/>
      <c r="I175" s="52"/>
      <c r="J175" s="71"/>
      <c r="K175" s="173"/>
      <c r="L175" s="187"/>
      <c r="M175" s="52"/>
      <c r="N175" s="71"/>
      <c r="O175" s="71"/>
      <c r="P175" s="370"/>
      <c r="Q175" s="371"/>
    </row>
    <row r="176" spans="1:17" s="1" customFormat="1" ht="12.75" hidden="1">
      <c r="A176" s="270" t="s">
        <v>145</v>
      </c>
      <c r="B176" s="99" t="s">
        <v>134</v>
      </c>
      <c r="C176" s="53" t="s">
        <v>130</v>
      </c>
      <c r="D176" s="53" t="s">
        <v>193</v>
      </c>
      <c r="E176" s="54" t="s">
        <v>197</v>
      </c>
      <c r="F176" s="55" t="s">
        <v>140</v>
      </c>
      <c r="G176" s="71"/>
      <c r="H176" s="52"/>
      <c r="I176" s="52"/>
      <c r="J176" s="71"/>
      <c r="K176" s="173"/>
      <c r="L176" s="187"/>
      <c r="M176" s="52"/>
      <c r="N176" s="71"/>
      <c r="O176" s="71"/>
      <c r="P176" s="370"/>
      <c r="Q176" s="371"/>
    </row>
    <row r="177" spans="1:17" s="1" customFormat="1" ht="12.75" hidden="1">
      <c r="A177" s="270" t="s">
        <v>153</v>
      </c>
      <c r="B177" s="99" t="s">
        <v>134</v>
      </c>
      <c r="C177" s="53" t="s">
        <v>130</v>
      </c>
      <c r="D177" s="53" t="s">
        <v>193</v>
      </c>
      <c r="E177" s="54" t="s">
        <v>197</v>
      </c>
      <c r="F177" s="55" t="s">
        <v>140</v>
      </c>
      <c r="G177" s="71"/>
      <c r="H177" s="52"/>
      <c r="I177" s="52"/>
      <c r="J177" s="71"/>
      <c r="K177" s="173"/>
      <c r="L177" s="187"/>
      <c r="M177" s="52"/>
      <c r="N177" s="71"/>
      <c r="O177" s="71"/>
      <c r="P177" s="370"/>
      <c r="Q177" s="371"/>
    </row>
    <row r="178" spans="1:17" s="1" customFormat="1" ht="12.75" hidden="1">
      <c r="A178" s="270" t="s">
        <v>154</v>
      </c>
      <c r="B178" s="99" t="s">
        <v>134</v>
      </c>
      <c r="C178" s="53" t="s">
        <v>130</v>
      </c>
      <c r="D178" s="53" t="s">
        <v>193</v>
      </c>
      <c r="E178" s="54" t="s">
        <v>197</v>
      </c>
      <c r="F178" s="55" t="s">
        <v>140</v>
      </c>
      <c r="G178" s="71"/>
      <c r="H178" s="52"/>
      <c r="I178" s="52"/>
      <c r="J178" s="71"/>
      <c r="K178" s="173"/>
      <c r="L178" s="187"/>
      <c r="M178" s="52"/>
      <c r="N178" s="71"/>
      <c r="O178" s="71"/>
      <c r="P178" s="370"/>
      <c r="Q178" s="371"/>
    </row>
    <row r="179" spans="1:17" s="1" customFormat="1" ht="12.75" hidden="1">
      <c r="A179" s="270" t="s">
        <v>155</v>
      </c>
      <c r="B179" s="99" t="s">
        <v>134</v>
      </c>
      <c r="C179" s="53" t="s">
        <v>130</v>
      </c>
      <c r="D179" s="53" t="s">
        <v>193</v>
      </c>
      <c r="E179" s="54" t="s">
        <v>197</v>
      </c>
      <c r="F179" s="55" t="s">
        <v>140</v>
      </c>
      <c r="G179" s="71"/>
      <c r="H179" s="52"/>
      <c r="I179" s="52"/>
      <c r="J179" s="71"/>
      <c r="K179" s="173"/>
      <c r="L179" s="187"/>
      <c r="M179" s="52"/>
      <c r="N179" s="71"/>
      <c r="O179" s="71"/>
      <c r="P179" s="370"/>
      <c r="Q179" s="371"/>
    </row>
    <row r="180" spans="1:17" s="1" customFormat="1" ht="12.75" hidden="1">
      <c r="A180" s="270" t="s">
        <v>173</v>
      </c>
      <c r="B180" s="99" t="s">
        <v>134</v>
      </c>
      <c r="C180" s="53" t="s">
        <v>130</v>
      </c>
      <c r="D180" s="53" t="s">
        <v>193</v>
      </c>
      <c r="E180" s="54" t="s">
        <v>197</v>
      </c>
      <c r="F180" s="55" t="s">
        <v>140</v>
      </c>
      <c r="G180" s="71"/>
      <c r="H180" s="52"/>
      <c r="I180" s="52"/>
      <c r="J180" s="71"/>
      <c r="K180" s="173"/>
      <c r="L180" s="187"/>
      <c r="M180" s="52"/>
      <c r="N180" s="71"/>
      <c r="O180" s="71"/>
      <c r="P180" s="370"/>
      <c r="Q180" s="371"/>
    </row>
    <row r="181" spans="1:17" s="1" customFormat="1" ht="12.75" hidden="1">
      <c r="A181" s="270" t="s">
        <v>174</v>
      </c>
      <c r="B181" s="99" t="s">
        <v>134</v>
      </c>
      <c r="C181" s="53" t="s">
        <v>130</v>
      </c>
      <c r="D181" s="53" t="s">
        <v>193</v>
      </c>
      <c r="E181" s="54" t="s">
        <v>197</v>
      </c>
      <c r="F181" s="55" t="s">
        <v>140</v>
      </c>
      <c r="G181" s="71"/>
      <c r="H181" s="52"/>
      <c r="I181" s="52"/>
      <c r="J181" s="71"/>
      <c r="K181" s="173"/>
      <c r="L181" s="187"/>
      <c r="M181" s="52"/>
      <c r="N181" s="71"/>
      <c r="O181" s="71"/>
      <c r="P181" s="370"/>
      <c r="Q181" s="371"/>
    </row>
    <row r="182" spans="1:17" s="1" customFormat="1" ht="12.75" hidden="1">
      <c r="A182" s="270" t="s">
        <v>156</v>
      </c>
      <c r="B182" s="99" t="s">
        <v>134</v>
      </c>
      <c r="C182" s="53" t="s">
        <v>130</v>
      </c>
      <c r="D182" s="53" t="s">
        <v>193</v>
      </c>
      <c r="E182" s="54" t="s">
        <v>197</v>
      </c>
      <c r="F182" s="55" t="s">
        <v>140</v>
      </c>
      <c r="G182" s="71"/>
      <c r="H182" s="52"/>
      <c r="I182" s="52"/>
      <c r="J182" s="71"/>
      <c r="K182" s="173"/>
      <c r="L182" s="187"/>
      <c r="M182" s="52"/>
      <c r="N182" s="71"/>
      <c r="O182" s="71"/>
      <c r="P182" s="370"/>
      <c r="Q182" s="371"/>
    </row>
    <row r="183" spans="1:17" s="1" customFormat="1" ht="12.75" hidden="1">
      <c r="A183" s="270" t="s">
        <v>157</v>
      </c>
      <c r="B183" s="99" t="s">
        <v>134</v>
      </c>
      <c r="C183" s="53" t="s">
        <v>130</v>
      </c>
      <c r="D183" s="53" t="s">
        <v>193</v>
      </c>
      <c r="E183" s="54" t="s">
        <v>197</v>
      </c>
      <c r="F183" s="55" t="s">
        <v>140</v>
      </c>
      <c r="G183" s="71"/>
      <c r="H183" s="52"/>
      <c r="I183" s="52"/>
      <c r="J183" s="71"/>
      <c r="K183" s="173"/>
      <c r="L183" s="187"/>
      <c r="M183" s="52"/>
      <c r="N183" s="71"/>
      <c r="O183" s="71"/>
      <c r="P183" s="370"/>
      <c r="Q183" s="371"/>
    </row>
    <row r="184" spans="1:17" s="1" customFormat="1" ht="12.75" hidden="1">
      <c r="A184" s="270" t="s">
        <v>158</v>
      </c>
      <c r="B184" s="99" t="s">
        <v>134</v>
      </c>
      <c r="C184" s="53" t="s">
        <v>130</v>
      </c>
      <c r="D184" s="53" t="s">
        <v>193</v>
      </c>
      <c r="E184" s="54" t="s">
        <v>197</v>
      </c>
      <c r="F184" s="55" t="s">
        <v>140</v>
      </c>
      <c r="G184" s="71"/>
      <c r="H184" s="52"/>
      <c r="I184" s="52"/>
      <c r="J184" s="71"/>
      <c r="K184" s="173"/>
      <c r="L184" s="187"/>
      <c r="M184" s="52"/>
      <c r="N184" s="71"/>
      <c r="O184" s="71"/>
      <c r="P184" s="370"/>
      <c r="Q184" s="371"/>
    </row>
    <row r="185" spans="1:17" s="1" customFormat="1" ht="12.75" hidden="1">
      <c r="A185" s="270" t="s">
        <v>153</v>
      </c>
      <c r="B185" s="99" t="s">
        <v>134</v>
      </c>
      <c r="C185" s="53" t="s">
        <v>130</v>
      </c>
      <c r="D185" s="53" t="s">
        <v>193</v>
      </c>
      <c r="E185" s="54" t="s">
        <v>197</v>
      </c>
      <c r="F185" s="55" t="s">
        <v>140</v>
      </c>
      <c r="G185" s="71"/>
      <c r="H185" s="52"/>
      <c r="I185" s="52"/>
      <c r="J185" s="71"/>
      <c r="K185" s="173"/>
      <c r="L185" s="187"/>
      <c r="M185" s="52"/>
      <c r="N185" s="71"/>
      <c r="O185" s="71"/>
      <c r="P185" s="370"/>
      <c r="Q185" s="371"/>
    </row>
    <row r="186" spans="1:17" s="1" customFormat="1" ht="12.75" hidden="1">
      <c r="A186" s="270" t="s">
        <v>154</v>
      </c>
      <c r="B186" s="99" t="s">
        <v>134</v>
      </c>
      <c r="C186" s="53" t="s">
        <v>130</v>
      </c>
      <c r="D186" s="53" t="s">
        <v>193</v>
      </c>
      <c r="E186" s="54" t="s">
        <v>197</v>
      </c>
      <c r="F186" s="55" t="s">
        <v>140</v>
      </c>
      <c r="G186" s="71"/>
      <c r="H186" s="52"/>
      <c r="I186" s="52"/>
      <c r="J186" s="71"/>
      <c r="K186" s="173"/>
      <c r="L186" s="187"/>
      <c r="M186" s="52"/>
      <c r="N186" s="71"/>
      <c r="O186" s="71"/>
      <c r="P186" s="370"/>
      <c r="Q186" s="371"/>
    </row>
    <row r="187" spans="1:17" s="1" customFormat="1" ht="12.75" hidden="1">
      <c r="A187" s="270" t="s">
        <v>155</v>
      </c>
      <c r="B187" s="99" t="s">
        <v>134</v>
      </c>
      <c r="C187" s="53" t="s">
        <v>130</v>
      </c>
      <c r="D187" s="53" t="s">
        <v>193</v>
      </c>
      <c r="E187" s="54" t="s">
        <v>197</v>
      </c>
      <c r="F187" s="55" t="s">
        <v>140</v>
      </c>
      <c r="G187" s="71"/>
      <c r="H187" s="52"/>
      <c r="I187" s="52"/>
      <c r="J187" s="71"/>
      <c r="K187" s="173"/>
      <c r="L187" s="187"/>
      <c r="M187" s="52"/>
      <c r="N187" s="71"/>
      <c r="O187" s="71"/>
      <c r="P187" s="370"/>
      <c r="Q187" s="371"/>
    </row>
    <row r="188" spans="1:17" s="1" customFormat="1" ht="12.75" hidden="1">
      <c r="A188" s="270" t="s">
        <v>173</v>
      </c>
      <c r="B188" s="99" t="s">
        <v>134</v>
      </c>
      <c r="C188" s="53" t="s">
        <v>130</v>
      </c>
      <c r="D188" s="53" t="s">
        <v>193</v>
      </c>
      <c r="E188" s="54" t="s">
        <v>197</v>
      </c>
      <c r="F188" s="55" t="s">
        <v>140</v>
      </c>
      <c r="G188" s="71"/>
      <c r="H188" s="52"/>
      <c r="I188" s="52"/>
      <c r="J188" s="71"/>
      <c r="K188" s="173"/>
      <c r="L188" s="187"/>
      <c r="M188" s="52"/>
      <c r="N188" s="71"/>
      <c r="O188" s="71"/>
      <c r="P188" s="370"/>
      <c r="Q188" s="371"/>
    </row>
    <row r="189" spans="1:17" ht="12.75" hidden="1">
      <c r="A189" s="270" t="s">
        <v>157</v>
      </c>
      <c r="B189" s="99" t="s">
        <v>134</v>
      </c>
      <c r="C189" s="53" t="s">
        <v>130</v>
      </c>
      <c r="D189" s="53" t="s">
        <v>193</v>
      </c>
      <c r="E189" s="54" t="s">
        <v>197</v>
      </c>
      <c r="F189" s="55" t="s">
        <v>140</v>
      </c>
      <c r="G189" s="71"/>
      <c r="H189" s="52"/>
      <c r="I189" s="52"/>
      <c r="J189" s="71"/>
      <c r="K189" s="173"/>
      <c r="L189" s="187"/>
      <c r="M189" s="52"/>
      <c r="N189" s="71"/>
      <c r="O189" s="71"/>
      <c r="P189" s="370"/>
      <c r="Q189" s="371"/>
    </row>
    <row r="190" spans="1:17" s="1" customFormat="1" ht="12.75" hidden="1">
      <c r="A190" s="270" t="s">
        <v>159</v>
      </c>
      <c r="B190" s="99" t="s">
        <v>134</v>
      </c>
      <c r="C190" s="53" t="s">
        <v>130</v>
      </c>
      <c r="D190" s="53" t="s">
        <v>193</v>
      </c>
      <c r="E190" s="54" t="s">
        <v>197</v>
      </c>
      <c r="F190" s="55" t="s">
        <v>140</v>
      </c>
      <c r="G190" s="71">
        <f>SUM(G191:G192)</f>
        <v>0</v>
      </c>
      <c r="H190" s="52">
        <f>SUM(H191:H192)</f>
        <v>0</v>
      </c>
      <c r="I190" s="52">
        <f>SUM(I191:I192)</f>
        <v>0</v>
      </c>
      <c r="J190" s="71">
        <f>SUM(J191:J192)</f>
        <v>0</v>
      </c>
      <c r="K190" s="173">
        <f>SUM(K191:K192)</f>
        <v>0</v>
      </c>
      <c r="L190" s="187"/>
      <c r="M190" s="52"/>
      <c r="N190" s="71"/>
      <c r="O190" s="71"/>
      <c r="P190" s="370"/>
      <c r="Q190" s="371"/>
    </row>
    <row r="191" spans="1:17" s="1" customFormat="1" ht="14.25" customHeight="1" hidden="1">
      <c r="A191" s="270" t="s">
        <v>160</v>
      </c>
      <c r="B191" s="99" t="s">
        <v>134</v>
      </c>
      <c r="C191" s="53" t="s">
        <v>130</v>
      </c>
      <c r="D191" s="53" t="s">
        <v>193</v>
      </c>
      <c r="E191" s="54" t="s">
        <v>197</v>
      </c>
      <c r="F191" s="55" t="s">
        <v>140</v>
      </c>
      <c r="G191" s="71"/>
      <c r="H191" s="52"/>
      <c r="I191" s="52"/>
      <c r="J191" s="71"/>
      <c r="K191" s="173"/>
      <c r="L191" s="187"/>
      <c r="M191" s="52"/>
      <c r="N191" s="71"/>
      <c r="O191" s="71"/>
      <c r="P191" s="370"/>
      <c r="Q191" s="371"/>
    </row>
    <row r="192" spans="1:17" s="1" customFormat="1" ht="12.75" hidden="1">
      <c r="A192" s="281" t="s">
        <v>161</v>
      </c>
      <c r="B192" s="141" t="s">
        <v>134</v>
      </c>
      <c r="C192" s="67" t="s">
        <v>130</v>
      </c>
      <c r="D192" s="67" t="s">
        <v>193</v>
      </c>
      <c r="E192" s="68" t="s">
        <v>197</v>
      </c>
      <c r="F192" s="69" t="s">
        <v>140</v>
      </c>
      <c r="G192" s="134"/>
      <c r="H192" s="89"/>
      <c r="I192" s="89"/>
      <c r="J192" s="134"/>
      <c r="K192" s="161"/>
      <c r="L192" s="238"/>
      <c r="M192" s="89"/>
      <c r="N192" s="134"/>
      <c r="O192" s="134"/>
      <c r="P192" s="394"/>
      <c r="Q192" s="395"/>
    </row>
    <row r="193" spans="1:17" s="1" customFormat="1" ht="25.5">
      <c r="A193" s="286" t="s">
        <v>556</v>
      </c>
      <c r="B193" s="48" t="s">
        <v>134</v>
      </c>
      <c r="C193" s="49" t="s">
        <v>130</v>
      </c>
      <c r="D193" s="49" t="s">
        <v>193</v>
      </c>
      <c r="E193" s="50" t="s">
        <v>555</v>
      </c>
      <c r="F193" s="51"/>
      <c r="G193" s="71">
        <f>G194</f>
        <v>489.4</v>
      </c>
      <c r="H193" s="52">
        <f>H194</f>
        <v>489.4</v>
      </c>
      <c r="I193" s="52">
        <f>I194</f>
        <v>489.4</v>
      </c>
      <c r="J193" s="71">
        <f>J194</f>
        <v>40.5</v>
      </c>
      <c r="K193" s="173">
        <f aca="true" t="shared" si="48" ref="K193:N195">K221+K224</f>
        <v>0</v>
      </c>
      <c r="L193" s="173">
        <f t="shared" si="48"/>
        <v>0</v>
      </c>
      <c r="M193" s="173">
        <f t="shared" si="48"/>
        <v>0</v>
      </c>
      <c r="N193" s="173">
        <f t="shared" si="48"/>
        <v>0</v>
      </c>
      <c r="O193" s="71">
        <f aca="true" t="shared" si="49" ref="O193:Q194">O194</f>
        <v>637.3000000000001</v>
      </c>
      <c r="P193" s="370">
        <f t="shared" si="49"/>
        <v>637.3000000000001</v>
      </c>
      <c r="Q193" s="371">
        <f t="shared" si="49"/>
        <v>637.3000000000001</v>
      </c>
    </row>
    <row r="194" spans="1:17" s="1" customFormat="1" ht="25.5">
      <c r="A194" s="339" t="s">
        <v>558</v>
      </c>
      <c r="B194" s="73" t="s">
        <v>134</v>
      </c>
      <c r="C194" s="81" t="s">
        <v>130</v>
      </c>
      <c r="D194" s="81" t="s">
        <v>193</v>
      </c>
      <c r="E194" s="82" t="s">
        <v>557</v>
      </c>
      <c r="F194" s="77"/>
      <c r="G194" s="64">
        <f aca="true" t="shared" si="50" ref="G194:J195">G196</f>
        <v>489.4</v>
      </c>
      <c r="H194" s="37">
        <f t="shared" si="50"/>
        <v>489.4</v>
      </c>
      <c r="I194" s="37">
        <f t="shared" si="50"/>
        <v>489.4</v>
      </c>
      <c r="J194" s="64">
        <f t="shared" si="50"/>
        <v>40.5</v>
      </c>
      <c r="K194" s="176">
        <f t="shared" si="48"/>
        <v>0</v>
      </c>
      <c r="L194" s="176">
        <f t="shared" si="48"/>
        <v>0</v>
      </c>
      <c r="M194" s="176">
        <f t="shared" si="48"/>
        <v>0</v>
      </c>
      <c r="N194" s="176">
        <f t="shared" si="48"/>
        <v>0</v>
      </c>
      <c r="O194" s="64">
        <f t="shared" si="49"/>
        <v>637.3000000000001</v>
      </c>
      <c r="P194" s="380">
        <f t="shared" si="49"/>
        <v>637.3000000000001</v>
      </c>
      <c r="Q194" s="381">
        <f t="shared" si="49"/>
        <v>637.3000000000001</v>
      </c>
    </row>
    <row r="195" spans="1:17" s="1" customFormat="1" ht="25.5">
      <c r="A195" s="339" t="s">
        <v>560</v>
      </c>
      <c r="B195" s="73" t="s">
        <v>134</v>
      </c>
      <c r="C195" s="81" t="s">
        <v>130</v>
      </c>
      <c r="D195" s="81" t="s">
        <v>193</v>
      </c>
      <c r="E195" s="82" t="s">
        <v>559</v>
      </c>
      <c r="F195" s="77"/>
      <c r="G195" s="64">
        <f t="shared" si="50"/>
        <v>375.9</v>
      </c>
      <c r="H195" s="37">
        <f t="shared" si="50"/>
        <v>375.9</v>
      </c>
      <c r="I195" s="37">
        <f t="shared" si="50"/>
        <v>375.9</v>
      </c>
      <c r="J195" s="64">
        <f t="shared" si="50"/>
        <v>375.9</v>
      </c>
      <c r="K195" s="176">
        <f t="shared" si="48"/>
        <v>0</v>
      </c>
      <c r="L195" s="176">
        <f t="shared" si="48"/>
        <v>0</v>
      </c>
      <c r="M195" s="176">
        <f t="shared" si="48"/>
        <v>0</v>
      </c>
      <c r="N195" s="176">
        <f t="shared" si="48"/>
        <v>0</v>
      </c>
      <c r="O195" s="64">
        <f>O196+O199</f>
        <v>637.3000000000001</v>
      </c>
      <c r="P195" s="380">
        <f>P196+P199</f>
        <v>637.3000000000001</v>
      </c>
      <c r="Q195" s="381">
        <f>Q196+Q199</f>
        <v>637.3000000000001</v>
      </c>
    </row>
    <row r="196" spans="1:17" s="1" customFormat="1" ht="16.5" customHeight="1">
      <c r="A196" s="276" t="s">
        <v>79</v>
      </c>
      <c r="B196" s="99" t="s">
        <v>134</v>
      </c>
      <c r="C196" s="53" t="s">
        <v>130</v>
      </c>
      <c r="D196" s="53" t="s">
        <v>193</v>
      </c>
      <c r="E196" s="54" t="s">
        <v>559</v>
      </c>
      <c r="F196" s="75" t="s">
        <v>76</v>
      </c>
      <c r="G196" s="65">
        <f>G197+G198</f>
        <v>489.4</v>
      </c>
      <c r="H196" s="59">
        <f>H197+H198</f>
        <v>489.4</v>
      </c>
      <c r="I196" s="59">
        <f>I197+I198</f>
        <v>489.4</v>
      </c>
      <c r="J196" s="65">
        <v>40.5</v>
      </c>
      <c r="K196" s="164">
        <v>529.9</v>
      </c>
      <c r="L196" s="164">
        <v>-4.1</v>
      </c>
      <c r="M196" s="164"/>
      <c r="N196" s="164">
        <v>554.2</v>
      </c>
      <c r="O196" s="65">
        <v>554.2</v>
      </c>
      <c r="P196" s="374">
        <v>554.2</v>
      </c>
      <c r="Q196" s="375">
        <v>554.2</v>
      </c>
    </row>
    <row r="197" spans="1:17" s="1" customFormat="1" ht="2.25" customHeight="1" hidden="1">
      <c r="A197" s="272"/>
      <c r="B197" s="105"/>
      <c r="C197" s="74"/>
      <c r="D197" s="74"/>
      <c r="E197" s="79"/>
      <c r="F197" s="58" t="s">
        <v>146</v>
      </c>
      <c r="G197" s="76">
        <v>375.9</v>
      </c>
      <c r="H197" s="98">
        <v>375.9</v>
      </c>
      <c r="I197" s="98">
        <v>375.9</v>
      </c>
      <c r="J197" s="76">
        <v>375.9</v>
      </c>
      <c r="K197" s="164">
        <f>G197+J197</f>
        <v>751.8</v>
      </c>
      <c r="L197" s="189"/>
      <c r="M197" s="59"/>
      <c r="N197" s="164">
        <f aca="true" t="shared" si="51" ref="N197:Q198">K197+L197+M197</f>
        <v>751.8</v>
      </c>
      <c r="O197" s="65">
        <f t="shared" si="51"/>
        <v>751.8</v>
      </c>
      <c r="P197" s="374">
        <f t="shared" si="51"/>
        <v>1503.6</v>
      </c>
      <c r="Q197" s="375">
        <f t="shared" si="51"/>
        <v>3007.2</v>
      </c>
    </row>
    <row r="198" spans="1:17" s="1" customFormat="1" ht="17.25" customHeight="1" hidden="1">
      <c r="A198" s="270"/>
      <c r="B198" s="99"/>
      <c r="C198" s="53"/>
      <c r="D198" s="53"/>
      <c r="E198" s="54"/>
      <c r="F198" s="55" t="s">
        <v>148</v>
      </c>
      <c r="G198" s="65">
        <v>113.5</v>
      </c>
      <c r="H198" s="59">
        <v>113.5</v>
      </c>
      <c r="I198" s="59">
        <v>113.5</v>
      </c>
      <c r="J198" s="65">
        <v>113.5</v>
      </c>
      <c r="K198" s="164">
        <f>G198+J198</f>
        <v>227</v>
      </c>
      <c r="L198" s="189"/>
      <c r="M198" s="59"/>
      <c r="N198" s="164">
        <f t="shared" si="51"/>
        <v>227</v>
      </c>
      <c r="O198" s="65">
        <f t="shared" si="51"/>
        <v>227</v>
      </c>
      <c r="P198" s="374">
        <f t="shared" si="51"/>
        <v>454</v>
      </c>
      <c r="Q198" s="375">
        <f t="shared" si="51"/>
        <v>908</v>
      </c>
    </row>
    <row r="199" spans="1:17" s="1" customFormat="1" ht="16.5" customHeight="1" thickBot="1">
      <c r="A199" s="271" t="s">
        <v>80</v>
      </c>
      <c r="B199" s="99" t="s">
        <v>134</v>
      </c>
      <c r="C199" s="53" t="s">
        <v>130</v>
      </c>
      <c r="D199" s="53" t="s">
        <v>193</v>
      </c>
      <c r="E199" s="54" t="s">
        <v>559</v>
      </c>
      <c r="F199" s="58" t="s">
        <v>77</v>
      </c>
      <c r="G199" s="65">
        <v>74.2</v>
      </c>
      <c r="H199" s="59">
        <v>74.2</v>
      </c>
      <c r="I199" s="59">
        <v>74.2</v>
      </c>
      <c r="J199" s="65"/>
      <c r="K199" s="164">
        <v>74.2</v>
      </c>
      <c r="L199" s="189">
        <v>4.1</v>
      </c>
      <c r="M199" s="59"/>
      <c r="N199" s="164">
        <v>83.1</v>
      </c>
      <c r="O199" s="65">
        <v>83.1</v>
      </c>
      <c r="P199" s="374">
        <v>83.1</v>
      </c>
      <c r="Q199" s="375">
        <v>83.1</v>
      </c>
    </row>
    <row r="200" spans="1:17" s="1" customFormat="1" ht="18" customHeight="1" hidden="1" thickBot="1">
      <c r="A200" s="272"/>
      <c r="B200" s="26"/>
      <c r="C200" s="56"/>
      <c r="D200" s="56"/>
      <c r="E200" s="57"/>
      <c r="F200" s="58" t="s">
        <v>164</v>
      </c>
      <c r="G200" s="65"/>
      <c r="H200" s="59"/>
      <c r="I200" s="59"/>
      <c r="J200" s="65"/>
      <c r="K200" s="164"/>
      <c r="L200" s="189"/>
      <c r="M200" s="59"/>
      <c r="N200" s="65"/>
      <c r="O200" s="65"/>
      <c r="P200" s="374"/>
      <c r="Q200" s="375"/>
    </row>
    <row r="201" spans="1:17" s="1" customFormat="1" ht="18" customHeight="1" hidden="1" thickBot="1">
      <c r="A201" s="270"/>
      <c r="B201" s="48"/>
      <c r="C201" s="53"/>
      <c r="D201" s="53"/>
      <c r="E201" s="54"/>
      <c r="F201" s="55" t="s">
        <v>165</v>
      </c>
      <c r="G201" s="65"/>
      <c r="H201" s="59"/>
      <c r="I201" s="59"/>
      <c r="J201" s="65"/>
      <c r="K201" s="164"/>
      <c r="L201" s="189"/>
      <c r="M201" s="59"/>
      <c r="N201" s="65"/>
      <c r="O201" s="65"/>
      <c r="P201" s="374"/>
      <c r="Q201" s="375"/>
    </row>
    <row r="202" spans="1:17" s="1" customFormat="1" ht="18" customHeight="1" hidden="1" thickBot="1">
      <c r="A202" s="272"/>
      <c r="B202" s="26"/>
      <c r="C202" s="56"/>
      <c r="D202" s="56"/>
      <c r="E202" s="57"/>
      <c r="F202" s="58" t="s">
        <v>175</v>
      </c>
      <c r="G202" s="65"/>
      <c r="H202" s="59"/>
      <c r="I202" s="59"/>
      <c r="J202" s="65"/>
      <c r="K202" s="164"/>
      <c r="L202" s="189"/>
      <c r="M202" s="59"/>
      <c r="N202" s="65"/>
      <c r="O202" s="65"/>
      <c r="P202" s="374"/>
      <c r="Q202" s="375"/>
    </row>
    <row r="203" spans="1:17" s="1" customFormat="1" ht="18" customHeight="1" hidden="1" thickBot="1">
      <c r="A203" s="270"/>
      <c r="B203" s="48"/>
      <c r="C203" s="53"/>
      <c r="D203" s="53"/>
      <c r="E203" s="54"/>
      <c r="F203" s="55" t="s">
        <v>167</v>
      </c>
      <c r="G203" s="65"/>
      <c r="H203" s="59"/>
      <c r="I203" s="59"/>
      <c r="J203" s="65"/>
      <c r="K203" s="164"/>
      <c r="L203" s="189"/>
      <c r="M203" s="59"/>
      <c r="N203" s="65"/>
      <c r="O203" s="65"/>
      <c r="P203" s="374"/>
      <c r="Q203" s="375"/>
    </row>
    <row r="204" spans="1:17" s="1" customFormat="1" ht="18" customHeight="1" hidden="1" thickBot="1">
      <c r="A204" s="270"/>
      <c r="B204" s="48"/>
      <c r="C204" s="53"/>
      <c r="D204" s="53"/>
      <c r="E204" s="54"/>
      <c r="F204" s="55" t="s">
        <v>169</v>
      </c>
      <c r="G204" s="65"/>
      <c r="H204" s="59"/>
      <c r="I204" s="59"/>
      <c r="J204" s="65"/>
      <c r="K204" s="164"/>
      <c r="L204" s="189"/>
      <c r="M204" s="59"/>
      <c r="N204" s="65"/>
      <c r="O204" s="65"/>
      <c r="P204" s="374"/>
      <c r="Q204" s="375"/>
    </row>
    <row r="205" spans="1:17" s="1" customFormat="1" ht="18" customHeight="1" hidden="1" thickBot="1">
      <c r="A205" s="282"/>
      <c r="B205" s="86"/>
      <c r="C205" s="87"/>
      <c r="D205" s="87"/>
      <c r="E205" s="90"/>
      <c r="F205" s="88" t="s">
        <v>170</v>
      </c>
      <c r="G205" s="70"/>
      <c r="H205" s="63"/>
      <c r="I205" s="63"/>
      <c r="J205" s="70"/>
      <c r="K205" s="177"/>
      <c r="L205" s="189"/>
      <c r="M205" s="59"/>
      <c r="N205" s="65"/>
      <c r="O205" s="65"/>
      <c r="P205" s="374"/>
      <c r="Q205" s="375"/>
    </row>
    <row r="206" spans="1:17" s="1" customFormat="1" ht="25.5">
      <c r="A206" s="338" t="s">
        <v>546</v>
      </c>
      <c r="B206" s="43" t="s">
        <v>134</v>
      </c>
      <c r="C206" s="44" t="s">
        <v>130</v>
      </c>
      <c r="D206" s="44" t="s">
        <v>193</v>
      </c>
      <c r="E206" s="45" t="s">
        <v>545</v>
      </c>
      <c r="F206" s="46"/>
      <c r="G206" s="131">
        <f aca="true" t="shared" si="52" ref="G206:K207">G207</f>
        <v>1792</v>
      </c>
      <c r="H206" s="47">
        <f t="shared" si="52"/>
        <v>1792.1999999999998</v>
      </c>
      <c r="I206" s="47">
        <f t="shared" si="52"/>
        <v>1792</v>
      </c>
      <c r="J206" s="131">
        <f t="shared" si="52"/>
        <v>145</v>
      </c>
      <c r="K206" s="172">
        <f>K227+K230</f>
        <v>1937</v>
      </c>
      <c r="L206" s="172">
        <f>L227+L230</f>
        <v>0</v>
      </c>
      <c r="M206" s="172">
        <f>M227+M230</f>
        <v>0</v>
      </c>
      <c r="N206" s="172">
        <f>N227+N230</f>
        <v>2044</v>
      </c>
      <c r="O206" s="131">
        <f>O225</f>
        <v>2044</v>
      </c>
      <c r="P206" s="368">
        <f>P225</f>
        <v>2044</v>
      </c>
      <c r="Q206" s="369">
        <f>Q225</f>
        <v>2044</v>
      </c>
    </row>
    <row r="207" spans="1:17" s="1" customFormat="1" ht="12.75" hidden="1">
      <c r="A207" s="275" t="s">
        <v>151</v>
      </c>
      <c r="B207" s="73" t="s">
        <v>134</v>
      </c>
      <c r="C207" s="74" t="s">
        <v>130</v>
      </c>
      <c r="D207" s="74" t="s">
        <v>193</v>
      </c>
      <c r="E207" s="79" t="s">
        <v>198</v>
      </c>
      <c r="F207" s="75" t="s">
        <v>133</v>
      </c>
      <c r="G207" s="65">
        <f t="shared" si="52"/>
        <v>1792</v>
      </c>
      <c r="H207" s="59">
        <f t="shared" si="52"/>
        <v>1792.1999999999998</v>
      </c>
      <c r="I207" s="59">
        <f t="shared" si="52"/>
        <v>1792</v>
      </c>
      <c r="J207" s="65">
        <f t="shared" si="52"/>
        <v>145</v>
      </c>
      <c r="K207" s="164">
        <f t="shared" si="52"/>
        <v>1937</v>
      </c>
      <c r="L207" s="189"/>
      <c r="M207" s="59"/>
      <c r="N207" s="65"/>
      <c r="O207" s="65"/>
      <c r="P207" s="374"/>
      <c r="Q207" s="375"/>
    </row>
    <row r="208" spans="1:17" s="1" customFormat="1" ht="0.75" customHeight="1" hidden="1">
      <c r="A208" s="270" t="s">
        <v>139</v>
      </c>
      <c r="B208" s="48" t="s">
        <v>134</v>
      </c>
      <c r="C208" s="53" t="s">
        <v>130</v>
      </c>
      <c r="D208" s="53" t="s">
        <v>193</v>
      </c>
      <c r="E208" s="54" t="s">
        <v>198</v>
      </c>
      <c r="F208" s="55" t="s">
        <v>133</v>
      </c>
      <c r="G208" s="65">
        <f>G227+G230</f>
        <v>1792</v>
      </c>
      <c r="H208" s="59">
        <f>H227+H230</f>
        <v>1792.1999999999998</v>
      </c>
      <c r="I208" s="59">
        <f>I227+I230</f>
        <v>1792</v>
      </c>
      <c r="J208" s="65">
        <f>J227+J230</f>
        <v>145</v>
      </c>
      <c r="K208" s="164">
        <f>K227+K230</f>
        <v>1937</v>
      </c>
      <c r="L208" s="189"/>
      <c r="M208" s="59"/>
      <c r="N208" s="65"/>
      <c r="O208" s="65"/>
      <c r="P208" s="374"/>
      <c r="Q208" s="375"/>
    </row>
    <row r="209" spans="1:17" s="1" customFormat="1" ht="1.5" customHeight="1" hidden="1">
      <c r="A209" s="270" t="s">
        <v>141</v>
      </c>
      <c r="B209" s="48" t="s">
        <v>134</v>
      </c>
      <c r="C209" s="53" t="s">
        <v>130</v>
      </c>
      <c r="D209" s="53" t="s">
        <v>193</v>
      </c>
      <c r="E209" s="54" t="s">
        <v>198</v>
      </c>
      <c r="F209" s="55" t="s">
        <v>140</v>
      </c>
      <c r="G209" s="71">
        <f>G210+G214+G221</f>
        <v>0</v>
      </c>
      <c r="H209" s="52">
        <f>H210+H214+H221</f>
        <v>0</v>
      </c>
      <c r="I209" s="52">
        <f>I210+I214+I221</f>
        <v>0</v>
      </c>
      <c r="J209" s="71">
        <f>J210+J214+J221</f>
        <v>0</v>
      </c>
      <c r="K209" s="173">
        <f>K210+K214+K221</f>
        <v>0</v>
      </c>
      <c r="L209" s="187"/>
      <c r="M209" s="52"/>
      <c r="N209" s="71"/>
      <c r="O209" s="71"/>
      <c r="P209" s="370"/>
      <c r="Q209" s="371"/>
    </row>
    <row r="210" spans="1:17" s="1" customFormat="1" ht="1.5" customHeight="1" hidden="1">
      <c r="A210" s="270" t="s">
        <v>153</v>
      </c>
      <c r="B210" s="48" t="s">
        <v>134</v>
      </c>
      <c r="C210" s="53" t="s">
        <v>130</v>
      </c>
      <c r="D210" s="53" t="s">
        <v>193</v>
      </c>
      <c r="E210" s="54" t="s">
        <v>198</v>
      </c>
      <c r="F210" s="55" t="s">
        <v>140</v>
      </c>
      <c r="G210" s="71">
        <f>SUM(G211:G213)</f>
        <v>0</v>
      </c>
      <c r="H210" s="52">
        <f>SUM(H211:H213)</f>
        <v>0</v>
      </c>
      <c r="I210" s="52">
        <f>SUM(I211:I213)</f>
        <v>0</v>
      </c>
      <c r="J210" s="71">
        <f>SUM(J211:J213)</f>
        <v>0</v>
      </c>
      <c r="K210" s="173">
        <f>SUM(K211:K213)</f>
        <v>0</v>
      </c>
      <c r="L210" s="187"/>
      <c r="M210" s="52"/>
      <c r="N210" s="71"/>
      <c r="O210" s="71"/>
      <c r="P210" s="370"/>
      <c r="Q210" s="371"/>
    </row>
    <row r="211" spans="1:17" s="1" customFormat="1" ht="1.5" customHeight="1" hidden="1">
      <c r="A211" s="270" t="s">
        <v>143</v>
      </c>
      <c r="B211" s="48" t="s">
        <v>134</v>
      </c>
      <c r="C211" s="53" t="s">
        <v>130</v>
      </c>
      <c r="D211" s="53" t="s">
        <v>193</v>
      </c>
      <c r="E211" s="54" t="s">
        <v>198</v>
      </c>
      <c r="F211" s="55" t="s">
        <v>140</v>
      </c>
      <c r="G211" s="71"/>
      <c r="H211" s="52"/>
      <c r="I211" s="52"/>
      <c r="J211" s="71"/>
      <c r="K211" s="173"/>
      <c r="L211" s="187"/>
      <c r="M211" s="52"/>
      <c r="N211" s="71"/>
      <c r="O211" s="71"/>
      <c r="P211" s="370"/>
      <c r="Q211" s="371"/>
    </row>
    <row r="212" spans="1:17" s="1" customFormat="1" ht="1.5" customHeight="1" hidden="1">
      <c r="A212" s="270" t="s">
        <v>144</v>
      </c>
      <c r="B212" s="48" t="s">
        <v>134</v>
      </c>
      <c r="C212" s="53" t="s">
        <v>130</v>
      </c>
      <c r="D212" s="53" t="s">
        <v>193</v>
      </c>
      <c r="E212" s="54" t="s">
        <v>198</v>
      </c>
      <c r="F212" s="55" t="s">
        <v>140</v>
      </c>
      <c r="G212" s="71"/>
      <c r="H212" s="52"/>
      <c r="I212" s="52"/>
      <c r="J212" s="71"/>
      <c r="K212" s="173"/>
      <c r="L212" s="187"/>
      <c r="M212" s="52"/>
      <c r="N212" s="71"/>
      <c r="O212" s="71"/>
      <c r="P212" s="370"/>
      <c r="Q212" s="371"/>
    </row>
    <row r="213" spans="1:17" s="1" customFormat="1" ht="1.5" customHeight="1" hidden="1">
      <c r="A213" s="270" t="s">
        <v>145</v>
      </c>
      <c r="B213" s="48" t="s">
        <v>134</v>
      </c>
      <c r="C213" s="53" t="s">
        <v>130</v>
      </c>
      <c r="D213" s="53" t="s">
        <v>193</v>
      </c>
      <c r="E213" s="54" t="s">
        <v>198</v>
      </c>
      <c r="F213" s="55" t="s">
        <v>140</v>
      </c>
      <c r="G213" s="71"/>
      <c r="H213" s="52"/>
      <c r="I213" s="52"/>
      <c r="J213" s="71"/>
      <c r="K213" s="173"/>
      <c r="L213" s="187"/>
      <c r="M213" s="52"/>
      <c r="N213" s="71"/>
      <c r="O213" s="71"/>
      <c r="P213" s="370"/>
      <c r="Q213" s="371"/>
    </row>
    <row r="214" spans="1:17" s="1" customFormat="1" ht="1.5" customHeight="1" hidden="1">
      <c r="A214" s="270" t="s">
        <v>153</v>
      </c>
      <c r="B214" s="48" t="s">
        <v>134</v>
      </c>
      <c r="C214" s="53" t="s">
        <v>130</v>
      </c>
      <c r="D214" s="53" t="s">
        <v>193</v>
      </c>
      <c r="E214" s="54" t="s">
        <v>198</v>
      </c>
      <c r="F214" s="55" t="s">
        <v>140</v>
      </c>
      <c r="G214" s="71"/>
      <c r="H214" s="52"/>
      <c r="I214" s="52"/>
      <c r="J214" s="71"/>
      <c r="K214" s="173"/>
      <c r="L214" s="187"/>
      <c r="M214" s="52"/>
      <c r="N214" s="71"/>
      <c r="O214" s="71"/>
      <c r="P214" s="370"/>
      <c r="Q214" s="371"/>
    </row>
    <row r="215" spans="1:17" s="1" customFormat="1" ht="1.5" customHeight="1" hidden="1">
      <c r="A215" s="270" t="s">
        <v>154</v>
      </c>
      <c r="B215" s="48" t="s">
        <v>134</v>
      </c>
      <c r="C215" s="53" t="s">
        <v>130</v>
      </c>
      <c r="D215" s="53" t="s">
        <v>193</v>
      </c>
      <c r="E215" s="54" t="s">
        <v>198</v>
      </c>
      <c r="F215" s="55" t="s">
        <v>140</v>
      </c>
      <c r="G215" s="71"/>
      <c r="H215" s="52"/>
      <c r="I215" s="52"/>
      <c r="J215" s="71"/>
      <c r="K215" s="173"/>
      <c r="L215" s="187"/>
      <c r="M215" s="52"/>
      <c r="N215" s="71"/>
      <c r="O215" s="71"/>
      <c r="P215" s="370"/>
      <c r="Q215" s="371"/>
    </row>
    <row r="216" spans="1:17" s="1" customFormat="1" ht="1.5" customHeight="1" hidden="1">
      <c r="A216" s="270" t="s">
        <v>155</v>
      </c>
      <c r="B216" s="48" t="s">
        <v>134</v>
      </c>
      <c r="C216" s="53" t="s">
        <v>130</v>
      </c>
      <c r="D216" s="53" t="s">
        <v>193</v>
      </c>
      <c r="E216" s="54" t="s">
        <v>198</v>
      </c>
      <c r="F216" s="55" t="s">
        <v>140</v>
      </c>
      <c r="G216" s="71"/>
      <c r="H216" s="52"/>
      <c r="I216" s="52"/>
      <c r="J216" s="71"/>
      <c r="K216" s="173"/>
      <c r="L216" s="187"/>
      <c r="M216" s="52"/>
      <c r="N216" s="71"/>
      <c r="O216" s="71"/>
      <c r="P216" s="370"/>
      <c r="Q216" s="371"/>
    </row>
    <row r="217" spans="1:17" s="1" customFormat="1" ht="1.5" customHeight="1" hidden="1">
      <c r="A217" s="270" t="s">
        <v>173</v>
      </c>
      <c r="B217" s="48" t="s">
        <v>134</v>
      </c>
      <c r="C217" s="53" t="s">
        <v>130</v>
      </c>
      <c r="D217" s="53" t="s">
        <v>193</v>
      </c>
      <c r="E217" s="54" t="s">
        <v>198</v>
      </c>
      <c r="F217" s="55" t="s">
        <v>140</v>
      </c>
      <c r="G217" s="71"/>
      <c r="H217" s="52"/>
      <c r="I217" s="52"/>
      <c r="J217" s="71"/>
      <c r="K217" s="173"/>
      <c r="L217" s="187"/>
      <c r="M217" s="52"/>
      <c r="N217" s="71"/>
      <c r="O217" s="71"/>
      <c r="P217" s="370"/>
      <c r="Q217" s="371"/>
    </row>
    <row r="218" spans="1:17" s="1" customFormat="1" ht="1.5" customHeight="1" hidden="1">
      <c r="A218" s="270" t="s">
        <v>174</v>
      </c>
      <c r="B218" s="48" t="s">
        <v>134</v>
      </c>
      <c r="C218" s="53" t="s">
        <v>130</v>
      </c>
      <c r="D218" s="53" t="s">
        <v>193</v>
      </c>
      <c r="E218" s="54" t="s">
        <v>198</v>
      </c>
      <c r="F218" s="55" t="s">
        <v>140</v>
      </c>
      <c r="G218" s="71"/>
      <c r="H218" s="52"/>
      <c r="I218" s="52"/>
      <c r="J218" s="71"/>
      <c r="K218" s="173"/>
      <c r="L218" s="187"/>
      <c r="M218" s="52"/>
      <c r="N218" s="71"/>
      <c r="O218" s="71"/>
      <c r="P218" s="370"/>
      <c r="Q218" s="371"/>
    </row>
    <row r="219" spans="1:17" s="1" customFormat="1" ht="1.5" customHeight="1" hidden="1">
      <c r="A219" s="270" t="s">
        <v>156</v>
      </c>
      <c r="B219" s="48" t="s">
        <v>134</v>
      </c>
      <c r="C219" s="53" t="s">
        <v>130</v>
      </c>
      <c r="D219" s="53" t="s">
        <v>193</v>
      </c>
      <c r="E219" s="54" t="s">
        <v>198</v>
      </c>
      <c r="F219" s="55" t="s">
        <v>140</v>
      </c>
      <c r="G219" s="71"/>
      <c r="H219" s="52"/>
      <c r="I219" s="52"/>
      <c r="J219" s="71"/>
      <c r="K219" s="173"/>
      <c r="L219" s="187"/>
      <c r="M219" s="52"/>
      <c r="N219" s="71"/>
      <c r="O219" s="71"/>
      <c r="P219" s="370"/>
      <c r="Q219" s="371"/>
    </row>
    <row r="220" spans="1:17" s="1" customFormat="1" ht="1.5" customHeight="1" hidden="1">
      <c r="A220" s="270" t="s">
        <v>157</v>
      </c>
      <c r="B220" s="48" t="s">
        <v>134</v>
      </c>
      <c r="C220" s="53" t="s">
        <v>130</v>
      </c>
      <c r="D220" s="53" t="s">
        <v>193</v>
      </c>
      <c r="E220" s="54" t="s">
        <v>198</v>
      </c>
      <c r="F220" s="55" t="s">
        <v>140</v>
      </c>
      <c r="G220" s="71"/>
      <c r="H220" s="52"/>
      <c r="I220" s="52"/>
      <c r="J220" s="71"/>
      <c r="K220" s="173"/>
      <c r="L220" s="187"/>
      <c r="M220" s="52"/>
      <c r="N220" s="71"/>
      <c r="O220" s="71"/>
      <c r="P220" s="370"/>
      <c r="Q220" s="371"/>
    </row>
    <row r="221" spans="1:17" s="1" customFormat="1" ht="1.5" customHeight="1" hidden="1">
      <c r="A221" s="270" t="s">
        <v>158</v>
      </c>
      <c r="B221" s="48" t="s">
        <v>134</v>
      </c>
      <c r="C221" s="53" t="s">
        <v>130</v>
      </c>
      <c r="D221" s="53" t="s">
        <v>193</v>
      </c>
      <c r="E221" s="54" t="s">
        <v>198</v>
      </c>
      <c r="F221" s="55" t="s">
        <v>140</v>
      </c>
      <c r="G221" s="71">
        <f>8-8</f>
        <v>0</v>
      </c>
      <c r="H221" s="52">
        <f>8-8</f>
        <v>0</v>
      </c>
      <c r="I221" s="52">
        <f>8-8</f>
        <v>0</v>
      </c>
      <c r="J221" s="71">
        <f>8-8</f>
        <v>0</v>
      </c>
      <c r="K221" s="173">
        <f>8-8</f>
        <v>0</v>
      </c>
      <c r="L221" s="187"/>
      <c r="M221" s="52"/>
      <c r="N221" s="71"/>
      <c r="O221" s="71"/>
      <c r="P221" s="370"/>
      <c r="Q221" s="371"/>
    </row>
    <row r="222" spans="1:17" s="1" customFormat="1" ht="1.5" customHeight="1" hidden="1">
      <c r="A222" s="270" t="s">
        <v>159</v>
      </c>
      <c r="B222" s="48" t="s">
        <v>134</v>
      </c>
      <c r="C222" s="53" t="s">
        <v>130</v>
      </c>
      <c r="D222" s="53" t="s">
        <v>193</v>
      </c>
      <c r="E222" s="54" t="s">
        <v>198</v>
      </c>
      <c r="F222" s="55" t="s">
        <v>140</v>
      </c>
      <c r="G222" s="71">
        <f>SUM(G223:G224)</f>
        <v>0</v>
      </c>
      <c r="H222" s="52">
        <f>SUM(H223:H224)</f>
        <v>0</v>
      </c>
      <c r="I222" s="52">
        <f>SUM(I223:I224)</f>
        <v>0</v>
      </c>
      <c r="J222" s="71">
        <f>SUM(J223:J224)</f>
        <v>0</v>
      </c>
      <c r="K222" s="173">
        <f>SUM(K223:K224)</f>
        <v>0</v>
      </c>
      <c r="L222" s="187"/>
      <c r="M222" s="52"/>
      <c r="N222" s="71"/>
      <c r="O222" s="71"/>
      <c r="P222" s="370"/>
      <c r="Q222" s="371"/>
    </row>
    <row r="223" spans="1:17" s="1" customFormat="1" ht="1.5" customHeight="1" hidden="1">
      <c r="A223" s="270" t="s">
        <v>160</v>
      </c>
      <c r="B223" s="48" t="s">
        <v>134</v>
      </c>
      <c r="C223" s="53" t="s">
        <v>130</v>
      </c>
      <c r="D223" s="53" t="s">
        <v>193</v>
      </c>
      <c r="E223" s="54" t="s">
        <v>198</v>
      </c>
      <c r="F223" s="55" t="s">
        <v>140</v>
      </c>
      <c r="G223" s="71"/>
      <c r="H223" s="52"/>
      <c r="I223" s="52"/>
      <c r="J223" s="71"/>
      <c r="K223" s="173"/>
      <c r="L223" s="187"/>
      <c r="M223" s="52"/>
      <c r="N223" s="71"/>
      <c r="O223" s="71"/>
      <c r="P223" s="370"/>
      <c r="Q223" s="371"/>
    </row>
    <row r="224" spans="1:17" s="1" customFormat="1" ht="1.5" customHeight="1" hidden="1">
      <c r="A224" s="281" t="s">
        <v>161</v>
      </c>
      <c r="B224" s="66" t="s">
        <v>134</v>
      </c>
      <c r="C224" s="67" t="s">
        <v>130</v>
      </c>
      <c r="D224" s="67" t="s">
        <v>193</v>
      </c>
      <c r="E224" s="68" t="s">
        <v>198</v>
      </c>
      <c r="F224" s="69" t="s">
        <v>140</v>
      </c>
      <c r="G224" s="134"/>
      <c r="H224" s="89"/>
      <c r="I224" s="89"/>
      <c r="J224" s="134"/>
      <c r="K224" s="161"/>
      <c r="L224" s="238"/>
      <c r="M224" s="89"/>
      <c r="N224" s="134"/>
      <c r="O224" s="134"/>
      <c r="P224" s="394"/>
      <c r="Q224" s="395"/>
    </row>
    <row r="225" spans="1:17" s="1" customFormat="1" ht="38.25">
      <c r="A225" s="286" t="s">
        <v>548</v>
      </c>
      <c r="B225" s="48" t="s">
        <v>134</v>
      </c>
      <c r="C225" s="49" t="s">
        <v>130</v>
      </c>
      <c r="D225" s="49" t="s">
        <v>193</v>
      </c>
      <c r="E225" s="50" t="s">
        <v>547</v>
      </c>
      <c r="F225" s="51"/>
      <c r="G225" s="71">
        <f aca="true" t="shared" si="53" ref="G225:J226">G226</f>
        <v>1376.6</v>
      </c>
      <c r="H225" s="52">
        <f t="shared" si="53"/>
        <v>1376.6</v>
      </c>
      <c r="I225" s="52">
        <f t="shared" si="53"/>
        <v>1376.6</v>
      </c>
      <c r="J225" s="71">
        <f t="shared" si="53"/>
        <v>145</v>
      </c>
      <c r="K225" s="173">
        <f aca="true" t="shared" si="54" ref="K225:N226">K246+K249</f>
        <v>0</v>
      </c>
      <c r="L225" s="173">
        <f t="shared" si="54"/>
        <v>0</v>
      </c>
      <c r="M225" s="173">
        <f t="shared" si="54"/>
        <v>0</v>
      </c>
      <c r="N225" s="173">
        <f t="shared" si="54"/>
        <v>0</v>
      </c>
      <c r="O225" s="71">
        <f>O226</f>
        <v>2044</v>
      </c>
      <c r="P225" s="370">
        <f>P226</f>
        <v>2044</v>
      </c>
      <c r="Q225" s="371">
        <f>Q226</f>
        <v>2044</v>
      </c>
    </row>
    <row r="226" spans="1:17" s="1" customFormat="1" ht="39" customHeight="1">
      <c r="A226" s="339" t="s">
        <v>550</v>
      </c>
      <c r="B226" s="73" t="s">
        <v>134</v>
      </c>
      <c r="C226" s="81" t="s">
        <v>130</v>
      </c>
      <c r="D226" s="81" t="s">
        <v>193</v>
      </c>
      <c r="E226" s="82" t="s">
        <v>549</v>
      </c>
      <c r="F226" s="77"/>
      <c r="G226" s="64">
        <f t="shared" si="53"/>
        <v>1376.6</v>
      </c>
      <c r="H226" s="37">
        <f t="shared" si="53"/>
        <v>1376.6</v>
      </c>
      <c r="I226" s="37">
        <f t="shared" si="53"/>
        <v>1376.6</v>
      </c>
      <c r="J226" s="64">
        <f t="shared" si="53"/>
        <v>145</v>
      </c>
      <c r="K226" s="176">
        <f t="shared" si="54"/>
        <v>0</v>
      </c>
      <c r="L226" s="176">
        <f t="shared" si="54"/>
        <v>0</v>
      </c>
      <c r="M226" s="176">
        <f t="shared" si="54"/>
        <v>0</v>
      </c>
      <c r="N226" s="176">
        <f t="shared" si="54"/>
        <v>0</v>
      </c>
      <c r="O226" s="64">
        <f>O227+O230</f>
        <v>2044</v>
      </c>
      <c r="P226" s="380">
        <f>P227+P230</f>
        <v>2044</v>
      </c>
      <c r="Q226" s="381">
        <f>Q227+Q230</f>
        <v>2044</v>
      </c>
    </row>
    <row r="227" spans="1:17" s="1" customFormat="1" ht="16.5" customHeight="1">
      <c r="A227" s="276" t="s">
        <v>79</v>
      </c>
      <c r="B227" s="99" t="s">
        <v>134</v>
      </c>
      <c r="C227" s="53" t="s">
        <v>130</v>
      </c>
      <c r="D227" s="53" t="s">
        <v>193</v>
      </c>
      <c r="E227" s="54" t="s">
        <v>549</v>
      </c>
      <c r="F227" s="75" t="s">
        <v>76</v>
      </c>
      <c r="G227" s="65">
        <f>G228+G229</f>
        <v>1376.6</v>
      </c>
      <c r="H227" s="59">
        <f>H228+H229</f>
        <v>1376.6</v>
      </c>
      <c r="I227" s="59">
        <f>I228+I229</f>
        <v>1376.6</v>
      </c>
      <c r="J227" s="65">
        <v>145</v>
      </c>
      <c r="K227" s="164">
        <v>1521.6</v>
      </c>
      <c r="L227" s="189">
        <v>-31.3</v>
      </c>
      <c r="M227" s="59"/>
      <c r="N227" s="65">
        <v>2044</v>
      </c>
      <c r="O227" s="65">
        <v>2044</v>
      </c>
      <c r="P227" s="374">
        <v>2044</v>
      </c>
      <c r="Q227" s="375">
        <v>2044</v>
      </c>
    </row>
    <row r="228" spans="1:17" s="1" customFormat="1" ht="15" customHeight="1" hidden="1">
      <c r="A228" s="272"/>
      <c r="B228" s="105"/>
      <c r="C228" s="74"/>
      <c r="D228" s="74"/>
      <c r="E228" s="79"/>
      <c r="F228" s="58" t="s">
        <v>146</v>
      </c>
      <c r="G228" s="76">
        <v>1057.3</v>
      </c>
      <c r="H228" s="98">
        <v>1057.3</v>
      </c>
      <c r="I228" s="98">
        <v>1057.3</v>
      </c>
      <c r="J228" s="76">
        <v>1057.3</v>
      </c>
      <c r="K228" s="164">
        <f>G228+J228</f>
        <v>2114.6</v>
      </c>
      <c r="L228" s="189"/>
      <c r="M228" s="59"/>
      <c r="N228" s="65"/>
      <c r="O228" s="65"/>
      <c r="P228" s="374"/>
      <c r="Q228" s="375"/>
    </row>
    <row r="229" spans="1:17" s="1" customFormat="1" ht="18" customHeight="1" hidden="1">
      <c r="A229" s="270"/>
      <c r="B229" s="99"/>
      <c r="C229" s="53"/>
      <c r="D229" s="53"/>
      <c r="E229" s="54"/>
      <c r="F229" s="55" t="s">
        <v>148</v>
      </c>
      <c r="G229" s="65">
        <v>319.3</v>
      </c>
      <c r="H229" s="59">
        <v>319.3</v>
      </c>
      <c r="I229" s="59">
        <v>319.3</v>
      </c>
      <c r="J229" s="65">
        <v>319.3</v>
      </c>
      <c r="K229" s="164">
        <f>G229+J229</f>
        <v>638.6</v>
      </c>
      <c r="L229" s="189"/>
      <c r="M229" s="59"/>
      <c r="N229" s="65"/>
      <c r="O229" s="65"/>
      <c r="P229" s="374"/>
      <c r="Q229" s="375"/>
    </row>
    <row r="230" spans="1:17" s="1" customFormat="1" ht="16.5" customHeight="1" thickBot="1">
      <c r="A230" s="271" t="s">
        <v>80</v>
      </c>
      <c r="B230" s="99" t="s">
        <v>134</v>
      </c>
      <c r="C230" s="53" t="s">
        <v>130</v>
      </c>
      <c r="D230" s="53" t="s">
        <v>193</v>
      </c>
      <c r="E230" s="54" t="s">
        <v>549</v>
      </c>
      <c r="F230" s="58" t="s">
        <v>77</v>
      </c>
      <c r="G230" s="65">
        <v>415.4</v>
      </c>
      <c r="H230" s="59">
        <v>415.6</v>
      </c>
      <c r="I230" s="59">
        <v>415.4</v>
      </c>
      <c r="J230" s="65"/>
      <c r="K230" s="164">
        <v>415.4</v>
      </c>
      <c r="L230" s="189">
        <v>31.3</v>
      </c>
      <c r="M230" s="59"/>
      <c r="N230" s="65"/>
      <c r="O230" s="65"/>
      <c r="P230" s="374"/>
      <c r="Q230" s="375"/>
    </row>
    <row r="231" spans="1:17" s="1" customFormat="1" ht="4.5" customHeight="1" hidden="1" thickBot="1">
      <c r="A231" s="272"/>
      <c r="B231" s="26"/>
      <c r="C231" s="56"/>
      <c r="D231" s="56"/>
      <c r="E231" s="57"/>
      <c r="F231" s="58" t="s">
        <v>164</v>
      </c>
      <c r="G231" s="65"/>
      <c r="H231" s="59"/>
      <c r="I231" s="59"/>
      <c r="J231" s="65"/>
      <c r="K231" s="164"/>
      <c r="L231" s="189"/>
      <c r="M231" s="59"/>
      <c r="N231" s="65"/>
      <c r="O231" s="65"/>
      <c r="P231" s="374"/>
      <c r="Q231" s="375"/>
    </row>
    <row r="232" spans="1:17" s="1" customFormat="1" ht="13.5" hidden="1" thickBot="1">
      <c r="A232" s="270"/>
      <c r="B232" s="48"/>
      <c r="C232" s="53"/>
      <c r="D232" s="53"/>
      <c r="E232" s="54"/>
      <c r="F232" s="55" t="s">
        <v>165</v>
      </c>
      <c r="G232" s="65"/>
      <c r="H232" s="59"/>
      <c r="I232" s="59"/>
      <c r="J232" s="65"/>
      <c r="K232" s="164"/>
      <c r="L232" s="189"/>
      <c r="M232" s="59"/>
      <c r="N232" s="65"/>
      <c r="O232" s="65"/>
      <c r="P232" s="374"/>
      <c r="Q232" s="375"/>
    </row>
    <row r="233" spans="1:17" s="1" customFormat="1" ht="13.5" hidden="1" thickBot="1">
      <c r="A233" s="272"/>
      <c r="B233" s="26"/>
      <c r="C233" s="56"/>
      <c r="D233" s="56"/>
      <c r="E233" s="57"/>
      <c r="F233" s="58" t="s">
        <v>176</v>
      </c>
      <c r="G233" s="65"/>
      <c r="H233" s="59"/>
      <c r="I233" s="59"/>
      <c r="J233" s="65"/>
      <c r="K233" s="164"/>
      <c r="L233" s="189"/>
      <c r="M233" s="59"/>
      <c r="N233" s="65"/>
      <c r="O233" s="65"/>
      <c r="P233" s="374"/>
      <c r="Q233" s="375"/>
    </row>
    <row r="234" spans="1:17" s="1" customFormat="1" ht="13.5" hidden="1" thickBot="1">
      <c r="A234" s="270"/>
      <c r="B234" s="48"/>
      <c r="C234" s="53"/>
      <c r="D234" s="53"/>
      <c r="E234" s="54"/>
      <c r="F234" s="55" t="s">
        <v>166</v>
      </c>
      <c r="G234" s="65"/>
      <c r="H234" s="59"/>
      <c r="I234" s="59"/>
      <c r="J234" s="65"/>
      <c r="K234" s="164"/>
      <c r="L234" s="189"/>
      <c r="M234" s="59"/>
      <c r="N234" s="65"/>
      <c r="O234" s="65"/>
      <c r="P234" s="374"/>
      <c r="Q234" s="375"/>
    </row>
    <row r="235" spans="1:17" s="1" customFormat="1" ht="13.5" hidden="1" thickBot="1">
      <c r="A235" s="272"/>
      <c r="B235" s="26"/>
      <c r="C235" s="56"/>
      <c r="D235" s="56"/>
      <c r="E235" s="57"/>
      <c r="F235" s="58" t="s">
        <v>167</v>
      </c>
      <c r="G235" s="65"/>
      <c r="H235" s="59"/>
      <c r="I235" s="59"/>
      <c r="J235" s="65"/>
      <c r="K235" s="164"/>
      <c r="L235" s="189"/>
      <c r="M235" s="59"/>
      <c r="N235" s="65"/>
      <c r="O235" s="65"/>
      <c r="P235" s="374"/>
      <c r="Q235" s="375"/>
    </row>
    <row r="236" spans="1:17" s="1" customFormat="1" ht="13.5" hidden="1" thickBot="1">
      <c r="A236" s="270"/>
      <c r="B236" s="48"/>
      <c r="C236" s="53"/>
      <c r="D236" s="53"/>
      <c r="E236" s="54"/>
      <c r="F236" s="55" t="s">
        <v>169</v>
      </c>
      <c r="G236" s="65"/>
      <c r="H236" s="59"/>
      <c r="I236" s="59"/>
      <c r="J236" s="65"/>
      <c r="K236" s="164"/>
      <c r="L236" s="189"/>
      <c r="M236" s="59"/>
      <c r="N236" s="65"/>
      <c r="O236" s="65"/>
      <c r="P236" s="374"/>
      <c r="Q236" s="375"/>
    </row>
    <row r="237" spans="1:17" s="1" customFormat="1" ht="20.25" customHeight="1" hidden="1" thickBot="1">
      <c r="A237" s="273"/>
      <c r="B237" s="35"/>
      <c r="C237" s="60"/>
      <c r="D237" s="60"/>
      <c r="E237" s="61"/>
      <c r="F237" s="62" t="s">
        <v>170</v>
      </c>
      <c r="G237" s="70"/>
      <c r="H237" s="63"/>
      <c r="I237" s="63"/>
      <c r="J237" s="70"/>
      <c r="K237" s="177"/>
      <c r="L237" s="189"/>
      <c r="M237" s="59"/>
      <c r="N237" s="65"/>
      <c r="O237" s="65"/>
      <c r="P237" s="374"/>
      <c r="Q237" s="375"/>
    </row>
    <row r="238" spans="1:17" s="1" customFormat="1" ht="16.5" customHeight="1">
      <c r="A238" s="338" t="s">
        <v>586</v>
      </c>
      <c r="B238" s="43" t="s">
        <v>134</v>
      </c>
      <c r="C238" s="44" t="s">
        <v>130</v>
      </c>
      <c r="D238" s="44" t="s">
        <v>193</v>
      </c>
      <c r="E238" s="45" t="s">
        <v>585</v>
      </c>
      <c r="F238" s="46"/>
      <c r="G238" s="131">
        <f aca="true" t="shared" si="55" ref="G238:K239">G239</f>
        <v>1127.2</v>
      </c>
      <c r="H238" s="47">
        <f t="shared" si="55"/>
        <v>1127.2</v>
      </c>
      <c r="I238" s="47">
        <f t="shared" si="55"/>
        <v>1127.2</v>
      </c>
      <c r="J238" s="131">
        <f t="shared" si="55"/>
        <v>81.1</v>
      </c>
      <c r="K238" s="172">
        <f>K262+K265</f>
        <v>1208.3000000000002</v>
      </c>
      <c r="L238" s="172">
        <f>L262+L265</f>
        <v>0</v>
      </c>
      <c r="M238" s="172">
        <f>M262+M265</f>
        <v>0</v>
      </c>
      <c r="N238" s="172">
        <f>N262+N265</f>
        <v>1274.7</v>
      </c>
      <c r="O238" s="131">
        <f>O260</f>
        <v>1274.7</v>
      </c>
      <c r="P238" s="368">
        <f>P260</f>
        <v>1274.7</v>
      </c>
      <c r="Q238" s="369">
        <f>Q260</f>
        <v>1274.7</v>
      </c>
    </row>
    <row r="239" spans="1:17" s="1" customFormat="1" ht="12.75" hidden="1">
      <c r="A239" s="275" t="s">
        <v>151</v>
      </c>
      <c r="B239" s="73" t="s">
        <v>134</v>
      </c>
      <c r="C239" s="74" t="s">
        <v>130</v>
      </c>
      <c r="D239" s="74" t="s">
        <v>193</v>
      </c>
      <c r="E239" s="79" t="s">
        <v>199</v>
      </c>
      <c r="F239" s="75" t="s">
        <v>133</v>
      </c>
      <c r="G239" s="65">
        <f t="shared" si="55"/>
        <v>1127.2</v>
      </c>
      <c r="H239" s="59">
        <f t="shared" si="55"/>
        <v>1127.2</v>
      </c>
      <c r="I239" s="59">
        <f t="shared" si="55"/>
        <v>1127.2</v>
      </c>
      <c r="J239" s="65">
        <f t="shared" si="55"/>
        <v>81.1</v>
      </c>
      <c r="K239" s="164">
        <f t="shared" si="55"/>
        <v>1208.3000000000002</v>
      </c>
      <c r="L239" s="189"/>
      <c r="M239" s="59"/>
      <c r="N239" s="65"/>
      <c r="O239" s="65"/>
      <c r="P239" s="374"/>
      <c r="Q239" s="375"/>
    </row>
    <row r="240" spans="1:17" s="1" customFormat="1" ht="16.5" customHeight="1" hidden="1">
      <c r="A240" s="270" t="s">
        <v>139</v>
      </c>
      <c r="B240" s="48" t="s">
        <v>134</v>
      </c>
      <c r="C240" s="53" t="s">
        <v>130</v>
      </c>
      <c r="D240" s="53" t="s">
        <v>193</v>
      </c>
      <c r="E240" s="54" t="s">
        <v>199</v>
      </c>
      <c r="F240" s="55" t="s">
        <v>133</v>
      </c>
      <c r="G240" s="65">
        <f>G262+G265</f>
        <v>1127.2</v>
      </c>
      <c r="H240" s="59">
        <f>H262+H265</f>
        <v>1127.2</v>
      </c>
      <c r="I240" s="59">
        <f>I262+I265</f>
        <v>1127.2</v>
      </c>
      <c r="J240" s="65">
        <f>J262+J265</f>
        <v>81.1</v>
      </c>
      <c r="K240" s="164">
        <f>K262+K265</f>
        <v>1208.3000000000002</v>
      </c>
      <c r="L240" s="189"/>
      <c r="M240" s="59"/>
      <c r="N240" s="65"/>
      <c r="O240" s="65"/>
      <c r="P240" s="374"/>
      <c r="Q240" s="375"/>
    </row>
    <row r="241" spans="1:17" s="1" customFormat="1" ht="2.25" customHeight="1" hidden="1">
      <c r="A241" s="270" t="s">
        <v>141</v>
      </c>
      <c r="B241" s="48" t="s">
        <v>134</v>
      </c>
      <c r="C241" s="53" t="s">
        <v>130</v>
      </c>
      <c r="D241" s="53" t="s">
        <v>193</v>
      </c>
      <c r="E241" s="54" t="s">
        <v>199</v>
      </c>
      <c r="F241" s="55" t="s">
        <v>140</v>
      </c>
      <c r="G241" s="71">
        <f>G242+G246+G253</f>
        <v>0</v>
      </c>
      <c r="H241" s="52">
        <f>H242+H246+H253</f>
        <v>0</v>
      </c>
      <c r="I241" s="52">
        <f>I242+I246+I253</f>
        <v>0</v>
      </c>
      <c r="J241" s="71">
        <f>J242+J246+J253</f>
        <v>0</v>
      </c>
      <c r="K241" s="173">
        <f>K242+K246+K253</f>
        <v>0</v>
      </c>
      <c r="L241" s="187"/>
      <c r="M241" s="52"/>
      <c r="N241" s="71"/>
      <c r="O241" s="71"/>
      <c r="P241" s="370"/>
      <c r="Q241" s="371"/>
    </row>
    <row r="242" spans="1:17" s="1" customFormat="1" ht="2.25" customHeight="1" hidden="1">
      <c r="A242" s="270" t="s">
        <v>153</v>
      </c>
      <c r="B242" s="48" t="s">
        <v>134</v>
      </c>
      <c r="C242" s="53" t="s">
        <v>130</v>
      </c>
      <c r="D242" s="53" t="s">
        <v>193</v>
      </c>
      <c r="E242" s="54" t="s">
        <v>199</v>
      </c>
      <c r="F242" s="55" t="s">
        <v>140</v>
      </c>
      <c r="G242" s="71">
        <f>SUM(G243:G245)</f>
        <v>0</v>
      </c>
      <c r="H242" s="52">
        <f>SUM(H243:H245)</f>
        <v>0</v>
      </c>
      <c r="I242" s="52">
        <f>SUM(I243:I245)</f>
        <v>0</v>
      </c>
      <c r="J242" s="71">
        <f>SUM(J243:J245)</f>
        <v>0</v>
      </c>
      <c r="K242" s="173">
        <f>SUM(K243:K245)</f>
        <v>0</v>
      </c>
      <c r="L242" s="187"/>
      <c r="M242" s="52"/>
      <c r="N242" s="71"/>
      <c r="O242" s="71"/>
      <c r="P242" s="370"/>
      <c r="Q242" s="371"/>
    </row>
    <row r="243" spans="1:17" s="1" customFormat="1" ht="2.25" customHeight="1" hidden="1">
      <c r="A243" s="270" t="s">
        <v>143</v>
      </c>
      <c r="B243" s="48" t="s">
        <v>134</v>
      </c>
      <c r="C243" s="53" t="s">
        <v>130</v>
      </c>
      <c r="D243" s="53" t="s">
        <v>193</v>
      </c>
      <c r="E243" s="54" t="s">
        <v>199</v>
      </c>
      <c r="F243" s="55" t="s">
        <v>140</v>
      </c>
      <c r="G243" s="71"/>
      <c r="H243" s="52"/>
      <c r="I243" s="52"/>
      <c r="J243" s="71"/>
      <c r="K243" s="173"/>
      <c r="L243" s="187"/>
      <c r="M243" s="52"/>
      <c r="N243" s="71"/>
      <c r="O243" s="71"/>
      <c r="P243" s="370"/>
      <c r="Q243" s="371"/>
    </row>
    <row r="244" spans="1:17" s="1" customFormat="1" ht="2.25" customHeight="1" hidden="1">
      <c r="A244" s="270" t="s">
        <v>144</v>
      </c>
      <c r="B244" s="48" t="s">
        <v>134</v>
      </c>
      <c r="C244" s="53" t="s">
        <v>130</v>
      </c>
      <c r="D244" s="53" t="s">
        <v>193</v>
      </c>
      <c r="E244" s="54" t="s">
        <v>199</v>
      </c>
      <c r="F244" s="55" t="s">
        <v>140</v>
      </c>
      <c r="G244" s="71"/>
      <c r="H244" s="52"/>
      <c r="I244" s="52"/>
      <c r="J244" s="71"/>
      <c r="K244" s="173"/>
      <c r="L244" s="187"/>
      <c r="M244" s="52"/>
      <c r="N244" s="71"/>
      <c r="O244" s="71"/>
      <c r="P244" s="370"/>
      <c r="Q244" s="371"/>
    </row>
    <row r="245" spans="1:17" s="1" customFormat="1" ht="2.25" customHeight="1" hidden="1">
      <c r="A245" s="270" t="s">
        <v>145</v>
      </c>
      <c r="B245" s="48" t="s">
        <v>134</v>
      </c>
      <c r="C245" s="53" t="s">
        <v>130</v>
      </c>
      <c r="D245" s="53" t="s">
        <v>193</v>
      </c>
      <c r="E245" s="54" t="s">
        <v>199</v>
      </c>
      <c r="F245" s="55" t="s">
        <v>140</v>
      </c>
      <c r="G245" s="71"/>
      <c r="H245" s="52"/>
      <c r="I245" s="52"/>
      <c r="J245" s="71"/>
      <c r="K245" s="173"/>
      <c r="L245" s="187"/>
      <c r="M245" s="52"/>
      <c r="N245" s="71"/>
      <c r="O245" s="71"/>
      <c r="P245" s="370"/>
      <c r="Q245" s="371"/>
    </row>
    <row r="246" spans="1:17" s="1" customFormat="1" ht="2.25" customHeight="1" hidden="1">
      <c r="A246" s="270" t="s">
        <v>153</v>
      </c>
      <c r="B246" s="48" t="s">
        <v>134</v>
      </c>
      <c r="C246" s="53" t="s">
        <v>130</v>
      </c>
      <c r="D246" s="53" t="s">
        <v>193</v>
      </c>
      <c r="E246" s="54" t="s">
        <v>199</v>
      </c>
      <c r="F246" s="55" t="s">
        <v>140</v>
      </c>
      <c r="G246" s="71"/>
      <c r="H246" s="52"/>
      <c r="I246" s="52"/>
      <c r="J246" s="71"/>
      <c r="K246" s="173"/>
      <c r="L246" s="187"/>
      <c r="M246" s="52"/>
      <c r="N246" s="71"/>
      <c r="O246" s="71"/>
      <c r="P246" s="370"/>
      <c r="Q246" s="371"/>
    </row>
    <row r="247" spans="1:17" s="1" customFormat="1" ht="2.25" customHeight="1" hidden="1">
      <c r="A247" s="270" t="s">
        <v>154</v>
      </c>
      <c r="B247" s="48" t="s">
        <v>134</v>
      </c>
      <c r="C247" s="53" t="s">
        <v>130</v>
      </c>
      <c r="D247" s="53" t="s">
        <v>193</v>
      </c>
      <c r="E247" s="54" t="s">
        <v>199</v>
      </c>
      <c r="F247" s="55" t="s">
        <v>140</v>
      </c>
      <c r="G247" s="71"/>
      <c r="H247" s="52"/>
      <c r="I247" s="52"/>
      <c r="J247" s="71"/>
      <c r="K247" s="173"/>
      <c r="L247" s="187"/>
      <c r="M247" s="52"/>
      <c r="N247" s="71"/>
      <c r="O247" s="71"/>
      <c r="P247" s="370"/>
      <c r="Q247" s="371"/>
    </row>
    <row r="248" spans="1:17" s="1" customFormat="1" ht="2.25" customHeight="1" hidden="1">
      <c r="A248" s="270" t="s">
        <v>155</v>
      </c>
      <c r="B248" s="48" t="s">
        <v>134</v>
      </c>
      <c r="C248" s="53" t="s">
        <v>130</v>
      </c>
      <c r="D248" s="53" t="s">
        <v>193</v>
      </c>
      <c r="E248" s="54" t="s">
        <v>199</v>
      </c>
      <c r="F248" s="55" t="s">
        <v>140</v>
      </c>
      <c r="G248" s="71"/>
      <c r="H248" s="52"/>
      <c r="I248" s="52"/>
      <c r="J248" s="71"/>
      <c r="K248" s="173"/>
      <c r="L248" s="187"/>
      <c r="M248" s="52"/>
      <c r="N248" s="71"/>
      <c r="O248" s="71"/>
      <c r="P248" s="370"/>
      <c r="Q248" s="371"/>
    </row>
    <row r="249" spans="1:17" s="1" customFormat="1" ht="2.25" customHeight="1" hidden="1">
      <c r="A249" s="270" t="s">
        <v>173</v>
      </c>
      <c r="B249" s="48" t="s">
        <v>134</v>
      </c>
      <c r="C249" s="53" t="s">
        <v>130</v>
      </c>
      <c r="D249" s="53" t="s">
        <v>193</v>
      </c>
      <c r="E249" s="54" t="s">
        <v>199</v>
      </c>
      <c r="F249" s="55" t="s">
        <v>140</v>
      </c>
      <c r="G249" s="71"/>
      <c r="H249" s="52"/>
      <c r="I249" s="52"/>
      <c r="J249" s="71"/>
      <c r="K249" s="173"/>
      <c r="L249" s="187"/>
      <c r="M249" s="52"/>
      <c r="N249" s="71"/>
      <c r="O249" s="71"/>
      <c r="P249" s="370"/>
      <c r="Q249" s="371"/>
    </row>
    <row r="250" spans="1:17" s="1" customFormat="1" ht="2.25" customHeight="1" hidden="1">
      <c r="A250" s="270" t="s">
        <v>174</v>
      </c>
      <c r="B250" s="48" t="s">
        <v>134</v>
      </c>
      <c r="C250" s="53" t="s">
        <v>130</v>
      </c>
      <c r="D250" s="53" t="s">
        <v>193</v>
      </c>
      <c r="E250" s="54" t="s">
        <v>199</v>
      </c>
      <c r="F250" s="55" t="s">
        <v>140</v>
      </c>
      <c r="G250" s="71"/>
      <c r="H250" s="52"/>
      <c r="I250" s="52"/>
      <c r="J250" s="71"/>
      <c r="K250" s="173"/>
      <c r="L250" s="187"/>
      <c r="M250" s="52"/>
      <c r="N250" s="71"/>
      <c r="O250" s="71"/>
      <c r="P250" s="370"/>
      <c r="Q250" s="371"/>
    </row>
    <row r="251" spans="1:17" s="1" customFormat="1" ht="2.25" customHeight="1" hidden="1">
      <c r="A251" s="270" t="s">
        <v>156</v>
      </c>
      <c r="B251" s="48" t="s">
        <v>134</v>
      </c>
      <c r="C251" s="53" t="s">
        <v>130</v>
      </c>
      <c r="D251" s="53" t="s">
        <v>193</v>
      </c>
      <c r="E251" s="54" t="s">
        <v>199</v>
      </c>
      <c r="F251" s="55" t="s">
        <v>140</v>
      </c>
      <c r="G251" s="71"/>
      <c r="H251" s="52"/>
      <c r="I251" s="52"/>
      <c r="J251" s="71"/>
      <c r="K251" s="173"/>
      <c r="L251" s="187"/>
      <c r="M251" s="52"/>
      <c r="N251" s="71"/>
      <c r="O251" s="71"/>
      <c r="P251" s="370"/>
      <c r="Q251" s="371"/>
    </row>
    <row r="252" spans="1:17" s="1" customFormat="1" ht="2.25" customHeight="1" hidden="1">
      <c r="A252" s="270" t="s">
        <v>157</v>
      </c>
      <c r="B252" s="48" t="s">
        <v>134</v>
      </c>
      <c r="C252" s="53" t="s">
        <v>130</v>
      </c>
      <c r="D252" s="53" t="s">
        <v>193</v>
      </c>
      <c r="E252" s="54" t="s">
        <v>199</v>
      </c>
      <c r="F252" s="55" t="s">
        <v>140</v>
      </c>
      <c r="G252" s="71"/>
      <c r="H252" s="52"/>
      <c r="I252" s="52"/>
      <c r="J252" s="71"/>
      <c r="K252" s="173"/>
      <c r="L252" s="187"/>
      <c r="M252" s="52"/>
      <c r="N252" s="71"/>
      <c r="O252" s="71"/>
      <c r="P252" s="370"/>
      <c r="Q252" s="371"/>
    </row>
    <row r="253" spans="1:17" s="1" customFormat="1" ht="2.25" customHeight="1" hidden="1">
      <c r="A253" s="270" t="s">
        <v>158</v>
      </c>
      <c r="B253" s="48" t="s">
        <v>134</v>
      </c>
      <c r="C253" s="53" t="s">
        <v>130</v>
      </c>
      <c r="D253" s="53" t="s">
        <v>193</v>
      </c>
      <c r="E253" s="54" t="s">
        <v>199</v>
      </c>
      <c r="F253" s="55" t="s">
        <v>140</v>
      </c>
      <c r="G253" s="71"/>
      <c r="H253" s="52"/>
      <c r="I253" s="52"/>
      <c r="J253" s="71"/>
      <c r="K253" s="173"/>
      <c r="L253" s="187"/>
      <c r="M253" s="52"/>
      <c r="N253" s="71"/>
      <c r="O253" s="71"/>
      <c r="P253" s="370"/>
      <c r="Q253" s="371"/>
    </row>
    <row r="254" spans="1:17" ht="2.25" customHeight="1" hidden="1">
      <c r="A254" s="270" t="s">
        <v>173</v>
      </c>
      <c r="B254" s="48" t="s">
        <v>134</v>
      </c>
      <c r="C254" s="53" t="s">
        <v>130</v>
      </c>
      <c r="D254" s="53" t="s">
        <v>193</v>
      </c>
      <c r="E254" s="54" t="s">
        <v>199</v>
      </c>
      <c r="F254" s="55" t="s">
        <v>140</v>
      </c>
      <c r="G254" s="71"/>
      <c r="H254" s="52"/>
      <c r="I254" s="52"/>
      <c r="J254" s="71"/>
      <c r="K254" s="173"/>
      <c r="L254" s="187"/>
      <c r="M254" s="52"/>
      <c r="N254" s="71"/>
      <c r="O254" s="71"/>
      <c r="P254" s="370"/>
      <c r="Q254" s="371"/>
    </row>
    <row r="255" spans="1:17" ht="2.25" customHeight="1" hidden="1">
      <c r="A255" s="270"/>
      <c r="B255" s="48" t="s">
        <v>134</v>
      </c>
      <c r="C255" s="53" t="s">
        <v>130</v>
      </c>
      <c r="D255" s="53" t="s">
        <v>193</v>
      </c>
      <c r="E255" s="54" t="s">
        <v>199</v>
      </c>
      <c r="F255" s="55" t="s">
        <v>140</v>
      </c>
      <c r="G255" s="71"/>
      <c r="H255" s="52"/>
      <c r="I255" s="52"/>
      <c r="J255" s="71"/>
      <c r="K255" s="173"/>
      <c r="L255" s="187"/>
      <c r="M255" s="52"/>
      <c r="N255" s="71"/>
      <c r="O255" s="71"/>
      <c r="P255" s="370"/>
      <c r="Q255" s="371"/>
    </row>
    <row r="256" spans="1:17" s="1" customFormat="1" ht="2.25" customHeight="1" hidden="1">
      <c r="A256" s="270" t="s">
        <v>157</v>
      </c>
      <c r="B256" s="48" t="s">
        <v>134</v>
      </c>
      <c r="C256" s="53" t="s">
        <v>130</v>
      </c>
      <c r="D256" s="53" t="s">
        <v>193</v>
      </c>
      <c r="E256" s="54" t="s">
        <v>199</v>
      </c>
      <c r="F256" s="55" t="s">
        <v>140</v>
      </c>
      <c r="G256" s="71"/>
      <c r="H256" s="52"/>
      <c r="I256" s="52"/>
      <c r="J256" s="71"/>
      <c r="K256" s="173"/>
      <c r="L256" s="187"/>
      <c r="M256" s="52"/>
      <c r="N256" s="71"/>
      <c r="O256" s="71"/>
      <c r="P256" s="370"/>
      <c r="Q256" s="371"/>
    </row>
    <row r="257" spans="1:17" s="1" customFormat="1" ht="2.25" customHeight="1" hidden="1">
      <c r="A257" s="270" t="s">
        <v>159</v>
      </c>
      <c r="B257" s="48" t="s">
        <v>134</v>
      </c>
      <c r="C257" s="53" t="s">
        <v>130</v>
      </c>
      <c r="D257" s="53" t="s">
        <v>193</v>
      </c>
      <c r="E257" s="54" t="s">
        <v>199</v>
      </c>
      <c r="F257" s="55" t="s">
        <v>140</v>
      </c>
      <c r="G257" s="71">
        <f>SUM(G258:G259)</f>
        <v>0</v>
      </c>
      <c r="H257" s="52">
        <f>SUM(H258:H259)</f>
        <v>0</v>
      </c>
      <c r="I257" s="52">
        <f>SUM(I258:I259)</f>
        <v>0</v>
      </c>
      <c r="J257" s="71">
        <f>SUM(J258:J259)</f>
        <v>0</v>
      </c>
      <c r="K257" s="173">
        <f>SUM(K258:K259)</f>
        <v>0</v>
      </c>
      <c r="L257" s="187"/>
      <c r="M257" s="52"/>
      <c r="N257" s="71"/>
      <c r="O257" s="71"/>
      <c r="P257" s="370"/>
      <c r="Q257" s="371"/>
    </row>
    <row r="258" spans="1:17" s="1" customFormat="1" ht="2.25" customHeight="1" hidden="1">
      <c r="A258" s="270" t="s">
        <v>160</v>
      </c>
      <c r="B258" s="48" t="s">
        <v>134</v>
      </c>
      <c r="C258" s="53" t="s">
        <v>130</v>
      </c>
      <c r="D258" s="53" t="s">
        <v>193</v>
      </c>
      <c r="E258" s="54" t="s">
        <v>199</v>
      </c>
      <c r="F258" s="55" t="s">
        <v>140</v>
      </c>
      <c r="G258" s="71"/>
      <c r="H258" s="52"/>
      <c r="I258" s="52"/>
      <c r="J258" s="71"/>
      <c r="K258" s="173"/>
      <c r="L258" s="187"/>
      <c r="M258" s="52"/>
      <c r="N258" s="71"/>
      <c r="O258" s="71"/>
      <c r="P258" s="370"/>
      <c r="Q258" s="371"/>
    </row>
    <row r="259" spans="1:17" s="1" customFormat="1" ht="2.25" customHeight="1" hidden="1">
      <c r="A259" s="281" t="s">
        <v>161</v>
      </c>
      <c r="B259" s="66" t="s">
        <v>134</v>
      </c>
      <c r="C259" s="67" t="s">
        <v>130</v>
      </c>
      <c r="D259" s="67" t="s">
        <v>193</v>
      </c>
      <c r="E259" s="68" t="s">
        <v>199</v>
      </c>
      <c r="F259" s="69" t="s">
        <v>140</v>
      </c>
      <c r="G259" s="134"/>
      <c r="H259" s="89"/>
      <c r="I259" s="89"/>
      <c r="J259" s="134"/>
      <c r="K259" s="161"/>
      <c r="L259" s="238"/>
      <c r="M259" s="89"/>
      <c r="N259" s="134"/>
      <c r="O259" s="134"/>
      <c r="P259" s="394"/>
      <c r="Q259" s="395"/>
    </row>
    <row r="260" spans="1:17" s="1" customFormat="1" ht="25.5">
      <c r="A260" s="286" t="s">
        <v>588</v>
      </c>
      <c r="B260" s="48" t="s">
        <v>134</v>
      </c>
      <c r="C260" s="49" t="s">
        <v>130</v>
      </c>
      <c r="D260" s="49" t="s">
        <v>193</v>
      </c>
      <c r="E260" s="50" t="s">
        <v>587</v>
      </c>
      <c r="F260" s="51"/>
      <c r="G260" s="71">
        <f aca="true" t="shared" si="56" ref="G260:J261">G261</f>
        <v>978.8</v>
      </c>
      <c r="H260" s="52">
        <f t="shared" si="56"/>
        <v>978.8</v>
      </c>
      <c r="I260" s="52">
        <f t="shared" si="56"/>
        <v>978.8</v>
      </c>
      <c r="J260" s="71">
        <f t="shared" si="56"/>
        <v>81.1</v>
      </c>
      <c r="K260" s="173">
        <f aca="true" t="shared" si="57" ref="K260:N261">K284+K287</f>
        <v>0</v>
      </c>
      <c r="L260" s="173">
        <f t="shared" si="57"/>
        <v>0</v>
      </c>
      <c r="M260" s="173">
        <f t="shared" si="57"/>
        <v>0</v>
      </c>
      <c r="N260" s="173">
        <f t="shared" si="57"/>
        <v>0</v>
      </c>
      <c r="O260" s="71">
        <f>O261</f>
        <v>1274.7</v>
      </c>
      <c r="P260" s="370">
        <f>P261</f>
        <v>1274.7</v>
      </c>
      <c r="Q260" s="371">
        <f>Q261</f>
        <v>1274.7</v>
      </c>
    </row>
    <row r="261" spans="1:17" s="1" customFormat="1" ht="38.25">
      <c r="A261" s="339" t="s">
        <v>590</v>
      </c>
      <c r="B261" s="73" t="s">
        <v>134</v>
      </c>
      <c r="C261" s="81" t="s">
        <v>130</v>
      </c>
      <c r="D261" s="81" t="s">
        <v>193</v>
      </c>
      <c r="E261" s="82" t="s">
        <v>589</v>
      </c>
      <c r="F261" s="77"/>
      <c r="G261" s="64">
        <f t="shared" si="56"/>
        <v>978.8</v>
      </c>
      <c r="H261" s="37">
        <f t="shared" si="56"/>
        <v>978.8</v>
      </c>
      <c r="I261" s="37">
        <f t="shared" si="56"/>
        <v>978.8</v>
      </c>
      <c r="J261" s="64">
        <f t="shared" si="56"/>
        <v>81.1</v>
      </c>
      <c r="K261" s="176">
        <f t="shared" si="57"/>
        <v>0</v>
      </c>
      <c r="L261" s="176">
        <f t="shared" si="57"/>
        <v>0</v>
      </c>
      <c r="M261" s="176">
        <f t="shared" si="57"/>
        <v>0</v>
      </c>
      <c r="N261" s="176">
        <f t="shared" si="57"/>
        <v>0</v>
      </c>
      <c r="O261" s="64">
        <f>O262+O265</f>
        <v>1274.7</v>
      </c>
      <c r="P261" s="380">
        <f>P262+P265</f>
        <v>1274.7</v>
      </c>
      <c r="Q261" s="381">
        <f>Q262+Q265</f>
        <v>1274.7</v>
      </c>
    </row>
    <row r="262" spans="1:17" s="1" customFormat="1" ht="15.75" customHeight="1">
      <c r="A262" s="276" t="s">
        <v>79</v>
      </c>
      <c r="B262" s="99" t="s">
        <v>134</v>
      </c>
      <c r="C262" s="53" t="s">
        <v>130</v>
      </c>
      <c r="D262" s="53" t="s">
        <v>193</v>
      </c>
      <c r="E262" s="54" t="s">
        <v>589</v>
      </c>
      <c r="F262" s="75" t="s">
        <v>76</v>
      </c>
      <c r="G262" s="65">
        <f>G263+G264</f>
        <v>978.8</v>
      </c>
      <c r="H262" s="59">
        <f>H263+H264</f>
        <v>978.8</v>
      </c>
      <c r="I262" s="59">
        <f>I263+I264</f>
        <v>978.8</v>
      </c>
      <c r="J262" s="65">
        <v>81.1</v>
      </c>
      <c r="K262" s="164">
        <v>1059.9</v>
      </c>
      <c r="L262" s="189">
        <v>-9.21</v>
      </c>
      <c r="M262" s="59"/>
      <c r="N262" s="65">
        <v>1274.7</v>
      </c>
      <c r="O262" s="65">
        <v>1274.7</v>
      </c>
      <c r="P262" s="374">
        <v>1274.7</v>
      </c>
      <c r="Q262" s="375">
        <v>1274.7</v>
      </c>
    </row>
    <row r="263" spans="1:17" s="1" customFormat="1" ht="12" customHeight="1" hidden="1">
      <c r="A263" s="272"/>
      <c r="B263" s="105"/>
      <c r="C263" s="74"/>
      <c r="D263" s="74"/>
      <c r="E263" s="79"/>
      <c r="F263" s="58" t="s">
        <v>146</v>
      </c>
      <c r="G263" s="76">
        <v>751.8</v>
      </c>
      <c r="H263" s="98">
        <v>751.8</v>
      </c>
      <c r="I263" s="98">
        <v>751.8</v>
      </c>
      <c r="J263" s="76">
        <v>751.8</v>
      </c>
      <c r="K263" s="164">
        <f>G263+J263</f>
        <v>1503.6</v>
      </c>
      <c r="L263" s="189"/>
      <c r="M263" s="59"/>
      <c r="N263" s="65"/>
      <c r="O263" s="65"/>
      <c r="P263" s="374"/>
      <c r="Q263" s="375"/>
    </row>
    <row r="264" spans="1:17" s="1" customFormat="1" ht="16.5" customHeight="1" hidden="1">
      <c r="A264" s="270"/>
      <c r="B264" s="99"/>
      <c r="C264" s="53"/>
      <c r="D264" s="53"/>
      <c r="E264" s="54"/>
      <c r="F264" s="55" t="s">
        <v>148</v>
      </c>
      <c r="G264" s="65">
        <v>227</v>
      </c>
      <c r="H264" s="59">
        <v>227</v>
      </c>
      <c r="I264" s="59">
        <v>227</v>
      </c>
      <c r="J264" s="65">
        <v>227</v>
      </c>
      <c r="K264" s="164">
        <f>G264+J264</f>
        <v>454</v>
      </c>
      <c r="L264" s="189"/>
      <c r="M264" s="59"/>
      <c r="N264" s="65"/>
      <c r="O264" s="65"/>
      <c r="P264" s="374"/>
      <c r="Q264" s="375"/>
    </row>
    <row r="265" spans="1:17" s="1" customFormat="1" ht="16.5" customHeight="1" thickBot="1">
      <c r="A265" s="271" t="s">
        <v>80</v>
      </c>
      <c r="B265" s="99" t="s">
        <v>134</v>
      </c>
      <c r="C265" s="53" t="s">
        <v>130</v>
      </c>
      <c r="D265" s="53" t="s">
        <v>193</v>
      </c>
      <c r="E265" s="54" t="s">
        <v>589</v>
      </c>
      <c r="F265" s="58" t="s">
        <v>77</v>
      </c>
      <c r="G265" s="65">
        <v>148.4</v>
      </c>
      <c r="H265" s="59">
        <v>148.4</v>
      </c>
      <c r="I265" s="59">
        <v>148.4</v>
      </c>
      <c r="J265" s="65"/>
      <c r="K265" s="164">
        <v>148.4</v>
      </c>
      <c r="L265" s="189">
        <v>9.21</v>
      </c>
      <c r="M265" s="59"/>
      <c r="N265" s="65"/>
      <c r="O265" s="65"/>
      <c r="P265" s="374"/>
      <c r="Q265" s="375"/>
    </row>
    <row r="266" spans="1:17" s="1" customFormat="1" ht="2.25" customHeight="1" hidden="1" thickBot="1">
      <c r="A266" s="272"/>
      <c r="B266" s="26"/>
      <c r="C266" s="56"/>
      <c r="D266" s="56"/>
      <c r="E266" s="57"/>
      <c r="F266" s="58" t="s">
        <v>164</v>
      </c>
      <c r="G266" s="65"/>
      <c r="H266" s="59"/>
      <c r="I266" s="59"/>
      <c r="J266" s="65"/>
      <c r="K266" s="164"/>
      <c r="L266" s="189"/>
      <c r="M266" s="59"/>
      <c r="N266" s="65"/>
      <c r="O266" s="65"/>
      <c r="P266" s="374"/>
      <c r="Q266" s="375"/>
    </row>
    <row r="267" spans="1:17" s="1" customFormat="1" ht="13.5" hidden="1" thickBot="1">
      <c r="A267" s="272"/>
      <c r="B267" s="48"/>
      <c r="C267" s="53"/>
      <c r="D267" s="53"/>
      <c r="E267" s="54"/>
      <c r="F267" s="55" t="s">
        <v>175</v>
      </c>
      <c r="G267" s="65"/>
      <c r="H267" s="59"/>
      <c r="I267" s="59"/>
      <c r="J267" s="65"/>
      <c r="K267" s="164"/>
      <c r="L267" s="189"/>
      <c r="M267" s="59"/>
      <c r="N267" s="65"/>
      <c r="O267" s="65"/>
      <c r="P267" s="374"/>
      <c r="Q267" s="375"/>
    </row>
    <row r="268" spans="1:17" s="1" customFormat="1" ht="13.5" hidden="1" thickBot="1">
      <c r="A268" s="272"/>
      <c r="B268" s="26"/>
      <c r="C268" s="56"/>
      <c r="D268" s="56"/>
      <c r="E268" s="57"/>
      <c r="F268" s="58" t="s">
        <v>167</v>
      </c>
      <c r="G268" s="65"/>
      <c r="H268" s="59"/>
      <c r="I268" s="59"/>
      <c r="J268" s="65"/>
      <c r="K268" s="164"/>
      <c r="L268" s="189"/>
      <c r="M268" s="59"/>
      <c r="N268" s="65"/>
      <c r="O268" s="65"/>
      <c r="P268" s="374"/>
      <c r="Q268" s="375"/>
    </row>
    <row r="269" spans="1:17" s="1" customFormat="1" ht="13.5" hidden="1" thickBot="1">
      <c r="A269" s="270"/>
      <c r="B269" s="48"/>
      <c r="C269" s="53"/>
      <c r="D269" s="53"/>
      <c r="E269" s="54"/>
      <c r="F269" s="55" t="s">
        <v>169</v>
      </c>
      <c r="G269" s="65"/>
      <c r="H269" s="59"/>
      <c r="I269" s="59"/>
      <c r="J269" s="65"/>
      <c r="K269" s="164"/>
      <c r="L269" s="189"/>
      <c r="M269" s="59"/>
      <c r="N269" s="65"/>
      <c r="O269" s="65"/>
      <c r="P269" s="374"/>
      <c r="Q269" s="375"/>
    </row>
    <row r="270" spans="1:17" s="1" customFormat="1" ht="13.5" hidden="1" thickBot="1">
      <c r="A270" s="273"/>
      <c r="B270" s="35"/>
      <c r="C270" s="60"/>
      <c r="D270" s="60"/>
      <c r="E270" s="61"/>
      <c r="F270" s="62" t="s">
        <v>170</v>
      </c>
      <c r="G270" s="70"/>
      <c r="H270" s="63"/>
      <c r="I270" s="63"/>
      <c r="J270" s="70"/>
      <c r="K270" s="177"/>
      <c r="L270" s="189"/>
      <c r="M270" s="59"/>
      <c r="N270" s="65"/>
      <c r="O270" s="65"/>
      <c r="P270" s="374"/>
      <c r="Q270" s="375"/>
    </row>
    <row r="271" spans="1:17" s="1" customFormat="1" ht="25.5">
      <c r="A271" s="338" t="s">
        <v>562</v>
      </c>
      <c r="B271" s="43" t="s">
        <v>134</v>
      </c>
      <c r="C271" s="44" t="s">
        <v>130</v>
      </c>
      <c r="D271" s="44" t="s">
        <v>193</v>
      </c>
      <c r="E271" s="45" t="s">
        <v>561</v>
      </c>
      <c r="F271" s="46"/>
      <c r="G271" s="131">
        <f>G273</f>
        <v>409.59999999999997</v>
      </c>
      <c r="H271" s="47">
        <f>H273</f>
        <v>440.7</v>
      </c>
      <c r="I271" s="47">
        <f>I273</f>
        <v>468.90000000000003</v>
      </c>
      <c r="J271" s="131">
        <f>J273</f>
        <v>29.4</v>
      </c>
      <c r="K271" s="172">
        <f>K332+K335</f>
        <v>439</v>
      </c>
      <c r="L271" s="172">
        <f>L332+L335</f>
        <v>0</v>
      </c>
      <c r="M271" s="172">
        <f>M332+M335</f>
        <v>0</v>
      </c>
      <c r="N271" s="172">
        <f>N332+N335</f>
        <v>427</v>
      </c>
      <c r="O271" s="131">
        <f>O329</f>
        <v>427</v>
      </c>
      <c r="P271" s="368">
        <f>P329</f>
        <v>453.9</v>
      </c>
      <c r="Q271" s="369">
        <f>Q329</f>
        <v>479.8</v>
      </c>
    </row>
    <row r="272" spans="1:17" s="1" customFormat="1" ht="12.75" hidden="1">
      <c r="A272" s="272" t="s">
        <v>151</v>
      </c>
      <c r="B272" s="26" t="s">
        <v>134</v>
      </c>
      <c r="C272" s="56" t="s">
        <v>130</v>
      </c>
      <c r="D272" s="56" t="s">
        <v>193</v>
      </c>
      <c r="E272" s="57" t="s">
        <v>200</v>
      </c>
      <c r="F272" s="58" t="s">
        <v>133</v>
      </c>
      <c r="G272" s="72">
        <f>G273</f>
        <v>409.59999999999997</v>
      </c>
      <c r="H272" s="80">
        <f>H273</f>
        <v>440.7</v>
      </c>
      <c r="I272" s="80">
        <f>I273</f>
        <v>468.90000000000003</v>
      </c>
      <c r="J272" s="72">
        <f>J273</f>
        <v>29.4</v>
      </c>
      <c r="K272" s="162">
        <f>K273</f>
        <v>439</v>
      </c>
      <c r="L272" s="189"/>
      <c r="M272" s="59"/>
      <c r="N272" s="65"/>
      <c r="O272" s="65"/>
      <c r="P272" s="374"/>
      <c r="Q272" s="375"/>
    </row>
    <row r="273" spans="1:17" s="1" customFormat="1" ht="15" customHeight="1" hidden="1">
      <c r="A273" s="269" t="s">
        <v>139</v>
      </c>
      <c r="B273" s="43" t="s">
        <v>134</v>
      </c>
      <c r="C273" s="340" t="s">
        <v>130</v>
      </c>
      <c r="D273" s="340" t="s">
        <v>193</v>
      </c>
      <c r="E273" s="341" t="s">
        <v>200</v>
      </c>
      <c r="F273" s="342" t="s">
        <v>133</v>
      </c>
      <c r="G273" s="135">
        <f>G332+G335</f>
        <v>409.59999999999997</v>
      </c>
      <c r="H273" s="91">
        <f>H332+H335</f>
        <v>440.7</v>
      </c>
      <c r="I273" s="91">
        <f>I332+I335</f>
        <v>468.90000000000003</v>
      </c>
      <c r="J273" s="135">
        <f>J332+J335</f>
        <v>29.4</v>
      </c>
      <c r="K273" s="178">
        <f>K332+K335</f>
        <v>439</v>
      </c>
      <c r="L273" s="189"/>
      <c r="M273" s="59"/>
      <c r="N273" s="65"/>
      <c r="O273" s="65"/>
      <c r="P273" s="374"/>
      <c r="Q273" s="375"/>
    </row>
    <row r="274" spans="1:17" s="1" customFormat="1" ht="0.75" customHeight="1" hidden="1">
      <c r="A274" s="270" t="s">
        <v>141</v>
      </c>
      <c r="B274" s="48" t="s">
        <v>134</v>
      </c>
      <c r="C274" s="53" t="s">
        <v>130</v>
      </c>
      <c r="D274" s="53" t="s">
        <v>193</v>
      </c>
      <c r="E274" s="54" t="s">
        <v>200</v>
      </c>
      <c r="F274" s="55" t="s">
        <v>140</v>
      </c>
      <c r="G274" s="71">
        <f>G275+G279</f>
        <v>0</v>
      </c>
      <c r="H274" s="52">
        <f>H275+H279</f>
        <v>0</v>
      </c>
      <c r="I274" s="52">
        <f>I275+I279</f>
        <v>0</v>
      </c>
      <c r="J274" s="71">
        <f>J275+J279</f>
        <v>0</v>
      </c>
      <c r="K274" s="173">
        <f>K275+K279</f>
        <v>0</v>
      </c>
      <c r="L274" s="187"/>
      <c r="M274" s="52"/>
      <c r="N274" s="71"/>
      <c r="O274" s="71"/>
      <c r="P274" s="370"/>
      <c r="Q274" s="371"/>
    </row>
    <row r="275" spans="1:17" s="1" customFormat="1" ht="0.75" customHeight="1" hidden="1">
      <c r="A275" s="270" t="s">
        <v>153</v>
      </c>
      <c r="B275" s="48" t="s">
        <v>134</v>
      </c>
      <c r="C275" s="53" t="s">
        <v>130</v>
      </c>
      <c r="D275" s="53" t="s">
        <v>193</v>
      </c>
      <c r="E275" s="54" t="s">
        <v>200</v>
      </c>
      <c r="F275" s="55" t="s">
        <v>140</v>
      </c>
      <c r="G275" s="71">
        <f>SUM(G276:G278)</f>
        <v>0</v>
      </c>
      <c r="H275" s="52">
        <f>SUM(H276:H278)</f>
        <v>0</v>
      </c>
      <c r="I275" s="52">
        <f>SUM(I276:I278)</f>
        <v>0</v>
      </c>
      <c r="J275" s="71">
        <f>SUM(J276:J278)</f>
        <v>0</v>
      </c>
      <c r="K275" s="173">
        <f>SUM(K276:K278)</f>
        <v>0</v>
      </c>
      <c r="L275" s="187"/>
      <c r="M275" s="52"/>
      <c r="N275" s="71"/>
      <c r="O275" s="71"/>
      <c r="P275" s="370"/>
      <c r="Q275" s="371"/>
    </row>
    <row r="276" spans="1:17" s="1" customFormat="1" ht="0.75" customHeight="1" hidden="1">
      <c r="A276" s="270" t="s">
        <v>143</v>
      </c>
      <c r="B276" s="48" t="s">
        <v>134</v>
      </c>
      <c r="C276" s="53" t="s">
        <v>130</v>
      </c>
      <c r="D276" s="53" t="s">
        <v>193</v>
      </c>
      <c r="E276" s="54" t="s">
        <v>200</v>
      </c>
      <c r="F276" s="55" t="s">
        <v>140</v>
      </c>
      <c r="G276" s="71"/>
      <c r="H276" s="52"/>
      <c r="I276" s="52"/>
      <c r="J276" s="71"/>
      <c r="K276" s="173"/>
      <c r="L276" s="187"/>
      <c r="M276" s="52"/>
      <c r="N276" s="71"/>
      <c r="O276" s="71"/>
      <c r="P276" s="370"/>
      <c r="Q276" s="371"/>
    </row>
    <row r="277" spans="1:17" s="1" customFormat="1" ht="0.75" customHeight="1" hidden="1">
      <c r="A277" s="270" t="s">
        <v>144</v>
      </c>
      <c r="B277" s="48" t="s">
        <v>134</v>
      </c>
      <c r="C277" s="53" t="s">
        <v>130</v>
      </c>
      <c r="D277" s="53" t="s">
        <v>193</v>
      </c>
      <c r="E277" s="54" t="s">
        <v>200</v>
      </c>
      <c r="F277" s="55" t="s">
        <v>140</v>
      </c>
      <c r="G277" s="71"/>
      <c r="H277" s="52"/>
      <c r="I277" s="52"/>
      <c r="J277" s="71"/>
      <c r="K277" s="173"/>
      <c r="L277" s="187"/>
      <c r="M277" s="52"/>
      <c r="N277" s="71"/>
      <c r="O277" s="71"/>
      <c r="P277" s="370"/>
      <c r="Q277" s="371"/>
    </row>
    <row r="278" spans="1:17" s="1" customFormat="1" ht="0.75" customHeight="1" hidden="1">
      <c r="A278" s="270" t="s">
        <v>145</v>
      </c>
      <c r="B278" s="48" t="s">
        <v>134</v>
      </c>
      <c r="C278" s="53" t="s">
        <v>130</v>
      </c>
      <c r="D278" s="53" t="s">
        <v>193</v>
      </c>
      <c r="E278" s="54" t="s">
        <v>200</v>
      </c>
      <c r="F278" s="55" t="s">
        <v>140</v>
      </c>
      <c r="G278" s="71"/>
      <c r="H278" s="52"/>
      <c r="I278" s="52"/>
      <c r="J278" s="71"/>
      <c r="K278" s="173"/>
      <c r="L278" s="187"/>
      <c r="M278" s="52"/>
      <c r="N278" s="71"/>
      <c r="O278" s="71"/>
      <c r="P278" s="370"/>
      <c r="Q278" s="371"/>
    </row>
    <row r="279" spans="1:17" s="1" customFormat="1" ht="0.75" customHeight="1" hidden="1">
      <c r="A279" s="270" t="s">
        <v>153</v>
      </c>
      <c r="B279" s="48" t="s">
        <v>134</v>
      </c>
      <c r="C279" s="53" t="s">
        <v>130</v>
      </c>
      <c r="D279" s="53" t="s">
        <v>193</v>
      </c>
      <c r="E279" s="54" t="s">
        <v>200</v>
      </c>
      <c r="F279" s="55" t="s">
        <v>140</v>
      </c>
      <c r="G279" s="71"/>
      <c r="H279" s="52"/>
      <c r="I279" s="52"/>
      <c r="J279" s="71"/>
      <c r="K279" s="173"/>
      <c r="L279" s="187"/>
      <c r="M279" s="52"/>
      <c r="N279" s="71"/>
      <c r="O279" s="71"/>
      <c r="P279" s="370"/>
      <c r="Q279" s="371"/>
    </row>
    <row r="280" spans="1:17" s="1" customFormat="1" ht="0.75" customHeight="1" hidden="1">
      <c r="A280" s="270" t="s">
        <v>154</v>
      </c>
      <c r="B280" s="48" t="s">
        <v>134</v>
      </c>
      <c r="C280" s="53" t="s">
        <v>130</v>
      </c>
      <c r="D280" s="53" t="s">
        <v>193</v>
      </c>
      <c r="E280" s="54" t="s">
        <v>200</v>
      </c>
      <c r="F280" s="55" t="s">
        <v>140</v>
      </c>
      <c r="G280" s="71"/>
      <c r="H280" s="52"/>
      <c r="I280" s="52"/>
      <c r="J280" s="71"/>
      <c r="K280" s="173"/>
      <c r="L280" s="187"/>
      <c r="M280" s="52"/>
      <c r="N280" s="71"/>
      <c r="O280" s="71"/>
      <c r="P280" s="370"/>
      <c r="Q280" s="371"/>
    </row>
    <row r="281" spans="1:17" s="1" customFormat="1" ht="0.75" customHeight="1" hidden="1">
      <c r="A281" s="270" t="s">
        <v>173</v>
      </c>
      <c r="B281" s="48" t="s">
        <v>134</v>
      </c>
      <c r="C281" s="53" t="s">
        <v>130</v>
      </c>
      <c r="D281" s="53" t="s">
        <v>193</v>
      </c>
      <c r="E281" s="54" t="s">
        <v>200</v>
      </c>
      <c r="F281" s="55" t="s">
        <v>140</v>
      </c>
      <c r="G281" s="71"/>
      <c r="H281" s="52"/>
      <c r="I281" s="52"/>
      <c r="J281" s="71"/>
      <c r="K281" s="173"/>
      <c r="L281" s="187"/>
      <c r="M281" s="52"/>
      <c r="N281" s="71"/>
      <c r="O281" s="71"/>
      <c r="P281" s="370"/>
      <c r="Q281" s="371"/>
    </row>
    <row r="282" spans="1:17" s="1" customFormat="1" ht="0.75" customHeight="1" hidden="1">
      <c r="A282" s="270" t="s">
        <v>157</v>
      </c>
      <c r="B282" s="48" t="s">
        <v>134</v>
      </c>
      <c r="C282" s="53" t="s">
        <v>130</v>
      </c>
      <c r="D282" s="53" t="s">
        <v>193</v>
      </c>
      <c r="E282" s="54" t="s">
        <v>200</v>
      </c>
      <c r="F282" s="55" t="s">
        <v>140</v>
      </c>
      <c r="G282" s="71"/>
      <c r="H282" s="52"/>
      <c r="I282" s="52"/>
      <c r="J282" s="71"/>
      <c r="K282" s="173"/>
      <c r="L282" s="187"/>
      <c r="M282" s="52"/>
      <c r="N282" s="71"/>
      <c r="O282" s="71"/>
      <c r="P282" s="370"/>
      <c r="Q282" s="371"/>
    </row>
    <row r="283" spans="1:17" s="1" customFormat="1" ht="0.75" customHeight="1" hidden="1">
      <c r="A283" s="270" t="s">
        <v>159</v>
      </c>
      <c r="B283" s="48" t="s">
        <v>134</v>
      </c>
      <c r="C283" s="53" t="s">
        <v>130</v>
      </c>
      <c r="D283" s="53" t="s">
        <v>193</v>
      </c>
      <c r="E283" s="54" t="s">
        <v>200</v>
      </c>
      <c r="F283" s="55" t="s">
        <v>140</v>
      </c>
      <c r="G283" s="71">
        <f>SUM(G284:G285)</f>
        <v>0</v>
      </c>
      <c r="H283" s="52">
        <f>SUM(H284:H285)</f>
        <v>0</v>
      </c>
      <c r="I283" s="52">
        <f>SUM(I284:I285)</f>
        <v>0</v>
      </c>
      <c r="J283" s="71">
        <f>SUM(J284:J285)</f>
        <v>0</v>
      </c>
      <c r="K283" s="173">
        <f>SUM(K284:K285)</f>
        <v>0</v>
      </c>
      <c r="L283" s="187"/>
      <c r="M283" s="52"/>
      <c r="N283" s="71"/>
      <c r="O283" s="71"/>
      <c r="P283" s="370"/>
      <c r="Q283" s="371"/>
    </row>
    <row r="284" spans="1:17" s="1" customFormat="1" ht="0.75" customHeight="1" hidden="1">
      <c r="A284" s="270" t="s">
        <v>160</v>
      </c>
      <c r="B284" s="48" t="s">
        <v>134</v>
      </c>
      <c r="C284" s="53" t="s">
        <v>130</v>
      </c>
      <c r="D284" s="53" t="s">
        <v>193</v>
      </c>
      <c r="E284" s="54" t="s">
        <v>200</v>
      </c>
      <c r="F284" s="55" t="s">
        <v>140</v>
      </c>
      <c r="G284" s="71"/>
      <c r="H284" s="52"/>
      <c r="I284" s="52"/>
      <c r="J284" s="71"/>
      <c r="K284" s="173"/>
      <c r="L284" s="187"/>
      <c r="M284" s="52"/>
      <c r="N284" s="71"/>
      <c r="O284" s="71"/>
      <c r="P284" s="370"/>
      <c r="Q284" s="371"/>
    </row>
    <row r="285" spans="1:17" s="1" customFormat="1" ht="0.75" customHeight="1" hidden="1">
      <c r="A285" s="270" t="s">
        <v>161</v>
      </c>
      <c r="B285" s="48" t="s">
        <v>134</v>
      </c>
      <c r="C285" s="53" t="s">
        <v>130</v>
      </c>
      <c r="D285" s="53" t="s">
        <v>193</v>
      </c>
      <c r="E285" s="54" t="s">
        <v>200</v>
      </c>
      <c r="F285" s="55" t="s">
        <v>140</v>
      </c>
      <c r="G285" s="71"/>
      <c r="H285" s="52"/>
      <c r="I285" s="52"/>
      <c r="J285" s="71"/>
      <c r="K285" s="173"/>
      <c r="L285" s="187"/>
      <c r="M285" s="52"/>
      <c r="N285" s="71"/>
      <c r="O285" s="71"/>
      <c r="P285" s="370"/>
      <c r="Q285" s="371"/>
    </row>
    <row r="286" spans="1:17" s="1" customFormat="1" ht="25.5" hidden="1">
      <c r="A286" s="288" t="s">
        <v>201</v>
      </c>
      <c r="B286" s="48" t="s">
        <v>134</v>
      </c>
      <c r="C286" s="49" t="s">
        <v>130</v>
      </c>
      <c r="D286" s="53" t="s">
        <v>193</v>
      </c>
      <c r="E286" s="49" t="s">
        <v>202</v>
      </c>
      <c r="F286" s="51" t="s">
        <v>133</v>
      </c>
      <c r="G286" s="71">
        <f aca="true" t="shared" si="58" ref="G286:K287">G287</f>
        <v>0</v>
      </c>
      <c r="H286" s="52">
        <f t="shared" si="58"/>
        <v>0</v>
      </c>
      <c r="I286" s="52">
        <f t="shared" si="58"/>
        <v>0</v>
      </c>
      <c r="J286" s="71">
        <f t="shared" si="58"/>
        <v>0</v>
      </c>
      <c r="K286" s="173">
        <f t="shared" si="58"/>
        <v>0</v>
      </c>
      <c r="L286" s="187"/>
      <c r="M286" s="52"/>
      <c r="N286" s="71"/>
      <c r="O286" s="71"/>
      <c r="P286" s="370"/>
      <c r="Q286" s="371"/>
    </row>
    <row r="287" spans="1:17" s="1" customFormat="1" ht="19.5" customHeight="1" hidden="1">
      <c r="A287" s="288" t="s">
        <v>203</v>
      </c>
      <c r="B287" s="48" t="s">
        <v>134</v>
      </c>
      <c r="C287" s="53" t="s">
        <v>130</v>
      </c>
      <c r="D287" s="53" t="s">
        <v>193</v>
      </c>
      <c r="E287" s="53" t="s">
        <v>204</v>
      </c>
      <c r="F287" s="55" t="s">
        <v>133</v>
      </c>
      <c r="G287" s="71">
        <f t="shared" si="58"/>
        <v>0</v>
      </c>
      <c r="H287" s="52">
        <f t="shared" si="58"/>
        <v>0</v>
      </c>
      <c r="I287" s="52">
        <f t="shared" si="58"/>
        <v>0</v>
      </c>
      <c r="J287" s="71">
        <f t="shared" si="58"/>
        <v>0</v>
      </c>
      <c r="K287" s="173">
        <f t="shared" si="58"/>
        <v>0</v>
      </c>
      <c r="L287" s="187"/>
      <c r="M287" s="52"/>
      <c r="N287" s="71"/>
      <c r="O287" s="71"/>
      <c r="P287" s="370"/>
      <c r="Q287" s="371"/>
    </row>
    <row r="288" spans="1:17" s="1" customFormat="1" ht="12.75" hidden="1">
      <c r="A288" s="270" t="s">
        <v>139</v>
      </c>
      <c r="B288" s="48" t="s">
        <v>134</v>
      </c>
      <c r="C288" s="53" t="s">
        <v>130</v>
      </c>
      <c r="D288" s="53" t="s">
        <v>193</v>
      </c>
      <c r="E288" s="53" t="s">
        <v>204</v>
      </c>
      <c r="F288" s="55" t="s">
        <v>140</v>
      </c>
      <c r="G288" s="71">
        <v>0</v>
      </c>
      <c r="H288" s="52">
        <v>0</v>
      </c>
      <c r="I288" s="52">
        <v>0</v>
      </c>
      <c r="J288" s="71">
        <v>0</v>
      </c>
      <c r="K288" s="173">
        <v>0</v>
      </c>
      <c r="L288" s="187"/>
      <c r="M288" s="52"/>
      <c r="N288" s="71"/>
      <c r="O288" s="71"/>
      <c r="P288" s="370"/>
      <c r="Q288" s="371"/>
    </row>
    <row r="289" spans="1:17" s="1" customFormat="1" ht="12.75" hidden="1">
      <c r="A289" s="270" t="s">
        <v>141</v>
      </c>
      <c r="B289" s="48" t="s">
        <v>134</v>
      </c>
      <c r="C289" s="53" t="s">
        <v>130</v>
      </c>
      <c r="D289" s="53" t="s">
        <v>193</v>
      </c>
      <c r="E289" s="53" t="s">
        <v>204</v>
      </c>
      <c r="F289" s="55" t="s">
        <v>140</v>
      </c>
      <c r="G289" s="71">
        <f>G290</f>
        <v>500</v>
      </c>
      <c r="H289" s="52">
        <f>H290</f>
        <v>500</v>
      </c>
      <c r="I289" s="52">
        <f>I290</f>
        <v>500</v>
      </c>
      <c r="J289" s="71">
        <f>J290</f>
        <v>500</v>
      </c>
      <c r="K289" s="173">
        <f>K290</f>
        <v>500</v>
      </c>
      <c r="L289" s="187"/>
      <c r="M289" s="52"/>
      <c r="N289" s="71"/>
      <c r="O289" s="71"/>
      <c r="P289" s="370"/>
      <c r="Q289" s="371"/>
    </row>
    <row r="290" spans="1:17" s="1" customFormat="1" ht="12.75" hidden="1">
      <c r="A290" s="288" t="s">
        <v>205</v>
      </c>
      <c r="B290" s="48" t="s">
        <v>134</v>
      </c>
      <c r="C290" s="53" t="s">
        <v>130</v>
      </c>
      <c r="D290" s="53" t="s">
        <v>193</v>
      </c>
      <c r="E290" s="53" t="s">
        <v>204</v>
      </c>
      <c r="F290" s="55" t="s">
        <v>140</v>
      </c>
      <c r="G290" s="71">
        <f>SUM(G291:G292)</f>
        <v>500</v>
      </c>
      <c r="H290" s="52">
        <f>SUM(H291:H292)</f>
        <v>500</v>
      </c>
      <c r="I290" s="52">
        <f>SUM(I291:I292)</f>
        <v>500</v>
      </c>
      <c r="J290" s="71">
        <f>SUM(J291:J292)</f>
        <v>500</v>
      </c>
      <c r="K290" s="173">
        <f>SUM(K291:K292)</f>
        <v>500</v>
      </c>
      <c r="L290" s="187"/>
      <c r="M290" s="52"/>
      <c r="N290" s="71"/>
      <c r="O290" s="71"/>
      <c r="P290" s="370"/>
      <c r="Q290" s="371"/>
    </row>
    <row r="291" spans="1:17" s="1" customFormat="1" ht="12.75" hidden="1">
      <c r="A291" s="288" t="s">
        <v>206</v>
      </c>
      <c r="B291" s="48" t="s">
        <v>134</v>
      </c>
      <c r="C291" s="53" t="s">
        <v>130</v>
      </c>
      <c r="D291" s="53" t="s">
        <v>193</v>
      </c>
      <c r="E291" s="53" t="s">
        <v>204</v>
      </c>
      <c r="F291" s="55" t="s">
        <v>140</v>
      </c>
      <c r="G291" s="71">
        <v>300</v>
      </c>
      <c r="H291" s="52">
        <v>300</v>
      </c>
      <c r="I291" s="52">
        <v>300</v>
      </c>
      <c r="J291" s="71">
        <v>300</v>
      </c>
      <c r="K291" s="173">
        <v>300</v>
      </c>
      <c r="L291" s="187"/>
      <c r="M291" s="52"/>
      <c r="N291" s="71"/>
      <c r="O291" s="71"/>
      <c r="P291" s="370"/>
      <c r="Q291" s="371"/>
    </row>
    <row r="292" spans="1:17" s="1" customFormat="1" ht="12.75" hidden="1">
      <c r="A292" s="288" t="s">
        <v>206</v>
      </c>
      <c r="B292" s="343">
        <v>902</v>
      </c>
      <c r="C292" s="53" t="s">
        <v>130</v>
      </c>
      <c r="D292" s="53" t="s">
        <v>193</v>
      </c>
      <c r="E292" s="53" t="s">
        <v>204</v>
      </c>
      <c r="F292" s="55" t="s">
        <v>140</v>
      </c>
      <c r="G292" s="71">
        <v>200</v>
      </c>
      <c r="H292" s="52">
        <v>200</v>
      </c>
      <c r="I292" s="52">
        <v>200</v>
      </c>
      <c r="J292" s="71">
        <v>200</v>
      </c>
      <c r="K292" s="173">
        <v>200</v>
      </c>
      <c r="L292" s="187"/>
      <c r="M292" s="52"/>
      <c r="N292" s="71"/>
      <c r="O292" s="71"/>
      <c r="P292" s="370"/>
      <c r="Q292" s="371"/>
    </row>
    <row r="293" spans="1:17" s="1" customFormat="1" ht="25.5" hidden="1">
      <c r="A293" s="270" t="s">
        <v>207</v>
      </c>
      <c r="B293" s="48" t="s">
        <v>134</v>
      </c>
      <c r="C293" s="49" t="s">
        <v>130</v>
      </c>
      <c r="D293" s="53" t="s">
        <v>193</v>
      </c>
      <c r="E293" s="50" t="s">
        <v>208</v>
      </c>
      <c r="F293" s="51" t="s">
        <v>133</v>
      </c>
      <c r="G293" s="71">
        <f aca="true" t="shared" si="59" ref="G293:K294">G294</f>
        <v>0</v>
      </c>
      <c r="H293" s="52">
        <f t="shared" si="59"/>
        <v>0</v>
      </c>
      <c r="I293" s="52">
        <f t="shared" si="59"/>
        <v>0</v>
      </c>
      <c r="J293" s="71">
        <f t="shared" si="59"/>
        <v>0</v>
      </c>
      <c r="K293" s="173">
        <f t="shared" si="59"/>
        <v>0</v>
      </c>
      <c r="L293" s="187"/>
      <c r="M293" s="52"/>
      <c r="N293" s="71"/>
      <c r="O293" s="71"/>
      <c r="P293" s="370"/>
      <c r="Q293" s="371"/>
    </row>
    <row r="294" spans="1:17" s="1" customFormat="1" ht="25.5" hidden="1">
      <c r="A294" s="270" t="s">
        <v>209</v>
      </c>
      <c r="B294" s="48" t="s">
        <v>134</v>
      </c>
      <c r="C294" s="53" t="s">
        <v>130</v>
      </c>
      <c r="D294" s="53" t="s">
        <v>193</v>
      </c>
      <c r="E294" s="54" t="s">
        <v>210</v>
      </c>
      <c r="F294" s="55" t="s">
        <v>133</v>
      </c>
      <c r="G294" s="71">
        <f t="shared" si="59"/>
        <v>0</v>
      </c>
      <c r="H294" s="52">
        <f t="shared" si="59"/>
        <v>0</v>
      </c>
      <c r="I294" s="52">
        <f t="shared" si="59"/>
        <v>0</v>
      </c>
      <c r="J294" s="71">
        <f t="shared" si="59"/>
        <v>0</v>
      </c>
      <c r="K294" s="173">
        <f t="shared" si="59"/>
        <v>0</v>
      </c>
      <c r="L294" s="187"/>
      <c r="M294" s="52"/>
      <c r="N294" s="71"/>
      <c r="O294" s="71"/>
      <c r="P294" s="370"/>
      <c r="Q294" s="371"/>
    </row>
    <row r="295" spans="1:17" s="1" customFormat="1" ht="12.75" hidden="1">
      <c r="A295" s="270" t="s">
        <v>139</v>
      </c>
      <c r="B295" s="48" t="s">
        <v>134</v>
      </c>
      <c r="C295" s="53" t="s">
        <v>130</v>
      </c>
      <c r="D295" s="53" t="s">
        <v>193</v>
      </c>
      <c r="E295" s="54" t="s">
        <v>210</v>
      </c>
      <c r="F295" s="55" t="s">
        <v>140</v>
      </c>
      <c r="G295" s="71"/>
      <c r="H295" s="52"/>
      <c r="I295" s="52"/>
      <c r="J295" s="71"/>
      <c r="K295" s="173"/>
      <c r="L295" s="187"/>
      <c r="M295" s="52"/>
      <c r="N295" s="71"/>
      <c r="O295" s="71"/>
      <c r="P295" s="370"/>
      <c r="Q295" s="371"/>
    </row>
    <row r="296" spans="1:17" s="1" customFormat="1" ht="0.75" customHeight="1" hidden="1">
      <c r="A296" s="270" t="s">
        <v>141</v>
      </c>
      <c r="B296" s="48" t="s">
        <v>134</v>
      </c>
      <c r="C296" s="53" t="s">
        <v>130</v>
      </c>
      <c r="D296" s="53" t="s">
        <v>193</v>
      </c>
      <c r="E296" s="54" t="s">
        <v>210</v>
      </c>
      <c r="F296" s="55" t="s">
        <v>140</v>
      </c>
      <c r="G296" s="71">
        <f>G297+G299</f>
        <v>0</v>
      </c>
      <c r="H296" s="52">
        <f>H297+H299</f>
        <v>0</v>
      </c>
      <c r="I296" s="52">
        <f>I297+I299</f>
        <v>0</v>
      </c>
      <c r="J296" s="71">
        <f>J297+J299</f>
        <v>0</v>
      </c>
      <c r="K296" s="173">
        <f>K297+K299</f>
        <v>0</v>
      </c>
      <c r="L296" s="187"/>
      <c r="M296" s="52"/>
      <c r="N296" s="71"/>
      <c r="O296" s="71"/>
      <c r="P296" s="370"/>
      <c r="Q296" s="371"/>
    </row>
    <row r="297" spans="1:17" s="1" customFormat="1" ht="12.75" hidden="1">
      <c r="A297" s="288" t="s">
        <v>205</v>
      </c>
      <c r="B297" s="48" t="s">
        <v>134</v>
      </c>
      <c r="C297" s="53" t="s">
        <v>130</v>
      </c>
      <c r="D297" s="53" t="s">
        <v>193</v>
      </c>
      <c r="E297" s="54" t="s">
        <v>210</v>
      </c>
      <c r="F297" s="55" t="s">
        <v>140</v>
      </c>
      <c r="G297" s="71">
        <f>G298</f>
        <v>0</v>
      </c>
      <c r="H297" s="52">
        <f>H298</f>
        <v>0</v>
      </c>
      <c r="I297" s="52">
        <f>I298</f>
        <v>0</v>
      </c>
      <c r="J297" s="71">
        <f>J298</f>
        <v>0</v>
      </c>
      <c r="K297" s="173">
        <f>K298</f>
        <v>0</v>
      </c>
      <c r="L297" s="187"/>
      <c r="M297" s="52"/>
      <c r="N297" s="71"/>
      <c r="O297" s="71"/>
      <c r="P297" s="370"/>
      <c r="Q297" s="371"/>
    </row>
    <row r="298" spans="1:17" s="1" customFormat="1" ht="12.75" customHeight="1" hidden="1">
      <c r="A298" s="270" t="s">
        <v>157</v>
      </c>
      <c r="B298" s="48" t="s">
        <v>134</v>
      </c>
      <c r="C298" s="53" t="s">
        <v>130</v>
      </c>
      <c r="D298" s="53" t="s">
        <v>193</v>
      </c>
      <c r="E298" s="54" t="s">
        <v>210</v>
      </c>
      <c r="F298" s="55" t="s">
        <v>140</v>
      </c>
      <c r="G298" s="71"/>
      <c r="H298" s="52"/>
      <c r="I298" s="52"/>
      <c r="J298" s="71"/>
      <c r="K298" s="173"/>
      <c r="L298" s="187"/>
      <c r="M298" s="52"/>
      <c r="N298" s="71"/>
      <c r="O298" s="71"/>
      <c r="P298" s="370"/>
      <c r="Q298" s="371"/>
    </row>
    <row r="299" spans="1:17" s="1" customFormat="1" ht="12.75" hidden="1">
      <c r="A299" s="270" t="s">
        <v>158</v>
      </c>
      <c r="B299" s="48" t="s">
        <v>211</v>
      </c>
      <c r="C299" s="53" t="s">
        <v>130</v>
      </c>
      <c r="D299" s="53" t="s">
        <v>193</v>
      </c>
      <c r="E299" s="54" t="s">
        <v>210</v>
      </c>
      <c r="F299" s="55" t="s">
        <v>140</v>
      </c>
      <c r="G299" s="71"/>
      <c r="H299" s="52"/>
      <c r="I299" s="52"/>
      <c r="J299" s="71"/>
      <c r="K299" s="173"/>
      <c r="L299" s="187"/>
      <c r="M299" s="52"/>
      <c r="N299" s="71"/>
      <c r="O299" s="71"/>
      <c r="P299" s="370"/>
      <c r="Q299" s="371"/>
    </row>
    <row r="300" spans="1:17" s="1" customFormat="1" ht="0.75" customHeight="1" hidden="1">
      <c r="A300" s="270" t="s">
        <v>212</v>
      </c>
      <c r="B300" s="48" t="s">
        <v>134</v>
      </c>
      <c r="C300" s="53" t="s">
        <v>130</v>
      </c>
      <c r="D300" s="53" t="s">
        <v>193</v>
      </c>
      <c r="E300" s="54" t="s">
        <v>213</v>
      </c>
      <c r="F300" s="55" t="s">
        <v>133</v>
      </c>
      <c r="G300" s="71">
        <f aca="true" t="shared" si="60" ref="G300:K301">G301</f>
        <v>0</v>
      </c>
      <c r="H300" s="52">
        <f t="shared" si="60"/>
        <v>0</v>
      </c>
      <c r="I300" s="52">
        <f t="shared" si="60"/>
        <v>0</v>
      </c>
      <c r="J300" s="71">
        <f t="shared" si="60"/>
        <v>0</v>
      </c>
      <c r="K300" s="173">
        <f t="shared" si="60"/>
        <v>0</v>
      </c>
      <c r="L300" s="187"/>
      <c r="M300" s="52"/>
      <c r="N300" s="71"/>
      <c r="O300" s="71"/>
      <c r="P300" s="370"/>
      <c r="Q300" s="371"/>
    </row>
    <row r="301" spans="1:17" s="1" customFormat="1" ht="12.75" hidden="1">
      <c r="A301" s="270" t="s">
        <v>141</v>
      </c>
      <c r="B301" s="48" t="s">
        <v>134</v>
      </c>
      <c r="C301" s="53" t="s">
        <v>130</v>
      </c>
      <c r="D301" s="53" t="s">
        <v>193</v>
      </c>
      <c r="E301" s="54" t="s">
        <v>213</v>
      </c>
      <c r="F301" s="55" t="s">
        <v>140</v>
      </c>
      <c r="G301" s="71">
        <f t="shared" si="60"/>
        <v>0</v>
      </c>
      <c r="H301" s="52">
        <f t="shared" si="60"/>
        <v>0</v>
      </c>
      <c r="I301" s="52">
        <f t="shared" si="60"/>
        <v>0</v>
      </c>
      <c r="J301" s="71">
        <f t="shared" si="60"/>
        <v>0</v>
      </c>
      <c r="K301" s="173">
        <f t="shared" si="60"/>
        <v>0</v>
      </c>
      <c r="L301" s="187"/>
      <c r="M301" s="52"/>
      <c r="N301" s="71"/>
      <c r="O301" s="71"/>
      <c r="P301" s="370"/>
      <c r="Q301" s="371"/>
    </row>
    <row r="302" spans="1:17" s="1" customFormat="1" ht="12.75" hidden="1">
      <c r="A302" s="288" t="s">
        <v>205</v>
      </c>
      <c r="B302" s="48" t="s">
        <v>134</v>
      </c>
      <c r="C302" s="53" t="s">
        <v>130</v>
      </c>
      <c r="D302" s="53" t="s">
        <v>193</v>
      </c>
      <c r="E302" s="54" t="s">
        <v>213</v>
      </c>
      <c r="F302" s="55" t="s">
        <v>140</v>
      </c>
      <c r="G302" s="71">
        <f>SUM(G303:G306)</f>
        <v>0</v>
      </c>
      <c r="H302" s="52">
        <f>SUM(H303:H306)</f>
        <v>0</v>
      </c>
      <c r="I302" s="52">
        <f>SUM(I303:I306)</f>
        <v>0</v>
      </c>
      <c r="J302" s="71">
        <f>SUM(J303:J306)</f>
        <v>0</v>
      </c>
      <c r="K302" s="173">
        <f>SUM(K303:K306)</f>
        <v>0</v>
      </c>
      <c r="L302" s="187"/>
      <c r="M302" s="52"/>
      <c r="N302" s="71"/>
      <c r="O302" s="71"/>
      <c r="P302" s="370"/>
      <c r="Q302" s="371"/>
    </row>
    <row r="303" spans="1:17" s="1" customFormat="1" ht="12.75" hidden="1">
      <c r="A303" s="270" t="s">
        <v>154</v>
      </c>
      <c r="B303" s="48" t="s">
        <v>134</v>
      </c>
      <c r="C303" s="53" t="s">
        <v>130</v>
      </c>
      <c r="D303" s="53" t="s">
        <v>193</v>
      </c>
      <c r="E303" s="54" t="s">
        <v>213</v>
      </c>
      <c r="F303" s="55" t="s">
        <v>140</v>
      </c>
      <c r="G303" s="71"/>
      <c r="H303" s="52"/>
      <c r="I303" s="52"/>
      <c r="J303" s="71"/>
      <c r="K303" s="173"/>
      <c r="L303" s="187"/>
      <c r="M303" s="52"/>
      <c r="N303" s="71"/>
      <c r="O303" s="71"/>
      <c r="P303" s="370"/>
      <c r="Q303" s="371"/>
    </row>
    <row r="304" spans="1:17" s="1" customFormat="1" ht="12.75" hidden="1">
      <c r="A304" s="270" t="s">
        <v>155</v>
      </c>
      <c r="B304" s="48" t="s">
        <v>134</v>
      </c>
      <c r="C304" s="53" t="s">
        <v>130</v>
      </c>
      <c r="D304" s="53" t="s">
        <v>193</v>
      </c>
      <c r="E304" s="54" t="s">
        <v>213</v>
      </c>
      <c r="F304" s="55" t="s">
        <v>140</v>
      </c>
      <c r="G304" s="71"/>
      <c r="H304" s="52"/>
      <c r="I304" s="52"/>
      <c r="J304" s="71"/>
      <c r="K304" s="173"/>
      <c r="L304" s="187"/>
      <c r="M304" s="52"/>
      <c r="N304" s="71"/>
      <c r="O304" s="71"/>
      <c r="P304" s="370"/>
      <c r="Q304" s="371"/>
    </row>
    <row r="305" spans="1:17" s="1" customFormat="1" ht="12.75" hidden="1">
      <c r="A305" s="270" t="s">
        <v>174</v>
      </c>
      <c r="B305" s="48" t="s">
        <v>134</v>
      </c>
      <c r="C305" s="53" t="s">
        <v>130</v>
      </c>
      <c r="D305" s="53" t="s">
        <v>193</v>
      </c>
      <c r="E305" s="54" t="s">
        <v>213</v>
      </c>
      <c r="F305" s="55" t="s">
        <v>140</v>
      </c>
      <c r="G305" s="71"/>
      <c r="H305" s="52"/>
      <c r="I305" s="52"/>
      <c r="J305" s="71"/>
      <c r="K305" s="173"/>
      <c r="L305" s="187"/>
      <c r="M305" s="52"/>
      <c r="N305" s="71"/>
      <c r="O305" s="71"/>
      <c r="P305" s="370"/>
      <c r="Q305" s="371"/>
    </row>
    <row r="306" spans="1:17" s="1" customFormat="1" ht="12.75" hidden="1">
      <c r="A306" s="270" t="s">
        <v>157</v>
      </c>
      <c r="B306" s="48" t="s">
        <v>134</v>
      </c>
      <c r="C306" s="53" t="s">
        <v>130</v>
      </c>
      <c r="D306" s="53" t="s">
        <v>193</v>
      </c>
      <c r="E306" s="54" t="s">
        <v>213</v>
      </c>
      <c r="F306" s="55" t="s">
        <v>140</v>
      </c>
      <c r="G306" s="71"/>
      <c r="H306" s="52"/>
      <c r="I306" s="52"/>
      <c r="J306" s="71"/>
      <c r="K306" s="173"/>
      <c r="L306" s="187"/>
      <c r="M306" s="52"/>
      <c r="N306" s="71"/>
      <c r="O306" s="71"/>
      <c r="P306" s="370"/>
      <c r="Q306" s="371"/>
    </row>
    <row r="307" spans="1:17" s="1" customFormat="1" ht="15.75" customHeight="1" hidden="1">
      <c r="A307" s="270" t="s">
        <v>129</v>
      </c>
      <c r="B307" s="48"/>
      <c r="C307" s="49" t="s">
        <v>130</v>
      </c>
      <c r="D307" s="49" t="s">
        <v>131</v>
      </c>
      <c r="E307" s="50" t="s">
        <v>132</v>
      </c>
      <c r="F307" s="51" t="s">
        <v>133</v>
      </c>
      <c r="G307" s="71" t="e">
        <f>G308+G323+G326+G327</f>
        <v>#REF!</v>
      </c>
      <c r="H307" s="52" t="e">
        <f>H308+H323+H326+H327</f>
        <v>#REF!</v>
      </c>
      <c r="I307" s="52" t="e">
        <f>I308+I323+I326+I327</f>
        <v>#REF!</v>
      </c>
      <c r="J307" s="71" t="e">
        <f>J308+J323+J326+J327</f>
        <v>#REF!</v>
      </c>
      <c r="K307" s="173" t="e">
        <f>K308+K323+K326+K327</f>
        <v>#REF!</v>
      </c>
      <c r="L307" s="187"/>
      <c r="M307" s="52"/>
      <c r="N307" s="71"/>
      <c r="O307" s="71"/>
      <c r="P307" s="370"/>
      <c r="Q307" s="371"/>
    </row>
    <row r="308" spans="1:17" s="1" customFormat="1" ht="11.25" customHeight="1" hidden="1">
      <c r="A308" s="270" t="s">
        <v>141</v>
      </c>
      <c r="B308" s="48"/>
      <c r="C308" s="49" t="s">
        <v>130</v>
      </c>
      <c r="D308" s="49" t="s">
        <v>131</v>
      </c>
      <c r="E308" s="50" t="s">
        <v>132</v>
      </c>
      <c r="F308" s="51" t="s">
        <v>133</v>
      </c>
      <c r="G308" s="71" t="e">
        <f>G309+G313+G320+G322</f>
        <v>#REF!</v>
      </c>
      <c r="H308" s="52" t="e">
        <f>H309+H313+H320+H322</f>
        <v>#REF!</v>
      </c>
      <c r="I308" s="52" t="e">
        <f>I309+I313+I320+I322</f>
        <v>#REF!</v>
      </c>
      <c r="J308" s="71" t="e">
        <f>J309+J313+J320+J322</f>
        <v>#REF!</v>
      </c>
      <c r="K308" s="173" t="e">
        <f>K309+K313+K320+K322</f>
        <v>#REF!</v>
      </c>
      <c r="L308" s="187"/>
      <c r="M308" s="52"/>
      <c r="N308" s="71"/>
      <c r="O308" s="71"/>
      <c r="P308" s="370"/>
      <c r="Q308" s="371"/>
    </row>
    <row r="309" spans="1:17" s="1" customFormat="1" ht="12.75" hidden="1">
      <c r="A309" s="270" t="s">
        <v>142</v>
      </c>
      <c r="B309" s="48"/>
      <c r="C309" s="49" t="s">
        <v>130</v>
      </c>
      <c r="D309" s="49" t="s">
        <v>131</v>
      </c>
      <c r="E309" s="50" t="s">
        <v>132</v>
      </c>
      <c r="F309" s="51" t="s">
        <v>133</v>
      </c>
      <c r="G309" s="71" t="e">
        <f>SUM(G310:G312)</f>
        <v>#REF!</v>
      </c>
      <c r="H309" s="52" t="e">
        <f>SUM(H310:H312)</f>
        <v>#REF!</v>
      </c>
      <c r="I309" s="52" t="e">
        <f>SUM(I310:I312)</f>
        <v>#REF!</v>
      </c>
      <c r="J309" s="71" t="e">
        <f>SUM(J310:J312)</f>
        <v>#REF!</v>
      </c>
      <c r="K309" s="173" t="e">
        <f>SUM(K310:K312)</f>
        <v>#REF!</v>
      </c>
      <c r="L309" s="187"/>
      <c r="M309" s="52"/>
      <c r="N309" s="71"/>
      <c r="O309" s="71"/>
      <c r="P309" s="370"/>
      <c r="Q309" s="371"/>
    </row>
    <row r="310" spans="1:17" s="1" customFormat="1" ht="12.75" hidden="1">
      <c r="A310" s="270" t="s">
        <v>143</v>
      </c>
      <c r="B310" s="48"/>
      <c r="C310" s="49" t="s">
        <v>130</v>
      </c>
      <c r="D310" s="49" t="s">
        <v>131</v>
      </c>
      <c r="E310" s="50" t="s">
        <v>132</v>
      </c>
      <c r="F310" s="51" t="s">
        <v>133</v>
      </c>
      <c r="G310" s="71" t="e">
        <f>#REF!+#REF!+#REF!+#REF!+#REF!+#REF!+G154+G243+G211+G173+G140+G276</f>
        <v>#REF!</v>
      </c>
      <c r="H310" s="52" t="e">
        <f>#REF!+#REF!+#REF!+#REF!+#REF!+#REF!+H154+H243+H211+H173+H140+H276</f>
        <v>#REF!</v>
      </c>
      <c r="I310" s="52" t="e">
        <f>#REF!+#REF!+#REF!+#REF!+#REF!+#REF!+I154+I243+I211+I173+I140+I276</f>
        <v>#REF!</v>
      </c>
      <c r="J310" s="71" t="e">
        <f>#REF!+#REF!+#REF!+#REF!+#REF!+#REF!+J154+J243+J211+J173+J140+J276</f>
        <v>#REF!</v>
      </c>
      <c r="K310" s="173" t="e">
        <f>#REF!+#REF!+#REF!+#REF!+#REF!+#REF!+K154+K243+K211+K173+K140+K276</f>
        <v>#REF!</v>
      </c>
      <c r="L310" s="187"/>
      <c r="M310" s="52"/>
      <c r="N310" s="71"/>
      <c r="O310" s="71"/>
      <c r="P310" s="370"/>
      <c r="Q310" s="371"/>
    </row>
    <row r="311" spans="1:17" s="1" customFormat="1" ht="12.75" hidden="1">
      <c r="A311" s="270" t="s">
        <v>144</v>
      </c>
      <c r="B311" s="48"/>
      <c r="C311" s="49" t="s">
        <v>130</v>
      </c>
      <c r="D311" s="49" t="s">
        <v>131</v>
      </c>
      <c r="E311" s="50" t="s">
        <v>132</v>
      </c>
      <c r="F311" s="51" t="s">
        <v>133</v>
      </c>
      <c r="G311" s="71" t="e">
        <f>#REF!+#REF!+#REF!+#REF!+#REF!+G130+G155+G244+G212+G174+G141+G175</f>
        <v>#REF!</v>
      </c>
      <c r="H311" s="52" t="e">
        <f>#REF!+#REF!+#REF!+#REF!+#REF!+H130+H155+H244+H212+H174+H141+H175</f>
        <v>#REF!</v>
      </c>
      <c r="I311" s="52" t="e">
        <f>#REF!+#REF!+#REF!+#REF!+#REF!+I130+I155+I244+I212+I174+I141+I175</f>
        <v>#REF!</v>
      </c>
      <c r="J311" s="71" t="e">
        <f>#REF!+#REF!+#REF!+#REF!+#REF!+J130+J155+J244+J212+J174+J141+J175</f>
        <v>#REF!</v>
      </c>
      <c r="K311" s="173" t="e">
        <f>#REF!+#REF!+#REF!+#REF!+#REF!+K130+K155+K244+K212+K174+K141+K175</f>
        <v>#REF!</v>
      </c>
      <c r="L311" s="187"/>
      <c r="M311" s="52"/>
      <c r="N311" s="71"/>
      <c r="O311" s="71"/>
      <c r="P311" s="370"/>
      <c r="Q311" s="371"/>
    </row>
    <row r="312" spans="1:17" s="1" customFormat="1" ht="12.75" hidden="1">
      <c r="A312" s="270" t="s">
        <v>145</v>
      </c>
      <c r="B312" s="48"/>
      <c r="C312" s="49" t="s">
        <v>130</v>
      </c>
      <c r="D312" s="49" t="s">
        <v>131</v>
      </c>
      <c r="E312" s="50" t="s">
        <v>132</v>
      </c>
      <c r="F312" s="51" t="s">
        <v>133</v>
      </c>
      <c r="G312" s="71" t="e">
        <f>#REF!+#REF!+#REF!+#REF!+#REF!+G131+#REF!+G156+G245+G213+G142+G176+G278</f>
        <v>#REF!</v>
      </c>
      <c r="H312" s="52" t="e">
        <f>#REF!+#REF!+#REF!+#REF!+#REF!+H131+#REF!+H156+H245+H213+H142+H176+H278</f>
        <v>#REF!</v>
      </c>
      <c r="I312" s="52" t="e">
        <f>#REF!+#REF!+#REF!+#REF!+#REF!+I131+#REF!+I156+I245+I213+I142+I176+I278</f>
        <v>#REF!</v>
      </c>
      <c r="J312" s="71" t="e">
        <f>#REF!+#REF!+#REF!+#REF!+#REF!+J131+#REF!+J156+J245+J213+J142+J176+J278</f>
        <v>#REF!</v>
      </c>
      <c r="K312" s="173" t="e">
        <f>#REF!+#REF!+#REF!+#REF!+#REF!+K131+#REF!+K156+K245+K213+K142+K176+K278</f>
        <v>#REF!</v>
      </c>
      <c r="L312" s="187"/>
      <c r="M312" s="52"/>
      <c r="N312" s="71"/>
      <c r="O312" s="71"/>
      <c r="P312" s="370"/>
      <c r="Q312" s="371"/>
    </row>
    <row r="313" spans="1:17" s="1" customFormat="1" ht="12.75" hidden="1">
      <c r="A313" s="270" t="s">
        <v>153</v>
      </c>
      <c r="B313" s="48"/>
      <c r="C313" s="49" t="s">
        <v>130</v>
      </c>
      <c r="D313" s="49" t="s">
        <v>131</v>
      </c>
      <c r="E313" s="50" t="s">
        <v>132</v>
      </c>
      <c r="F313" s="51" t="s">
        <v>133</v>
      </c>
      <c r="G313" s="71" t="e">
        <f>SUM(G314:G319)</f>
        <v>#REF!</v>
      </c>
      <c r="H313" s="52" t="e">
        <f>SUM(H314:H319)</f>
        <v>#REF!</v>
      </c>
      <c r="I313" s="52" t="e">
        <f>SUM(I314:I319)</f>
        <v>#REF!</v>
      </c>
      <c r="J313" s="71" t="e">
        <f>SUM(J314:J319)</f>
        <v>#REF!</v>
      </c>
      <c r="K313" s="173" t="e">
        <f>SUM(K314:K319)</f>
        <v>#REF!</v>
      </c>
      <c r="L313" s="187"/>
      <c r="M313" s="52"/>
      <c r="N313" s="71"/>
      <c r="O313" s="71"/>
      <c r="P313" s="370"/>
      <c r="Q313" s="371"/>
    </row>
    <row r="314" spans="1:17" s="1" customFormat="1" ht="12.75" hidden="1">
      <c r="A314" s="270" t="s">
        <v>154</v>
      </c>
      <c r="B314" s="48"/>
      <c r="C314" s="49" t="s">
        <v>130</v>
      </c>
      <c r="D314" s="49" t="s">
        <v>131</v>
      </c>
      <c r="E314" s="50" t="s">
        <v>132</v>
      </c>
      <c r="F314" s="51" t="s">
        <v>133</v>
      </c>
      <c r="G314" s="71" t="e">
        <f>#REF!+#REF!+#REF!+#REF!+G158+G133+G247+G215+G178+G144+G303+G186+G280</f>
        <v>#REF!</v>
      </c>
      <c r="H314" s="52" t="e">
        <f>#REF!+#REF!+#REF!+#REF!+H158+H133+H247+H215+H178+H144+H303+H186+H280</f>
        <v>#REF!</v>
      </c>
      <c r="I314" s="52" t="e">
        <f>#REF!+#REF!+#REF!+#REF!+I158+I133+I247+I215+I178+I144+I303+I186+I280</f>
        <v>#REF!</v>
      </c>
      <c r="J314" s="71" t="e">
        <f>#REF!+#REF!+#REF!+#REF!+J158+J133+J247+J215+J178+J144+J303+J186+J280</f>
        <v>#REF!</v>
      </c>
      <c r="K314" s="173" t="e">
        <f>#REF!+#REF!+#REF!+#REF!+K158+K133+K247+K215+K178+K144+K303+K186+K280</f>
        <v>#REF!</v>
      </c>
      <c r="L314" s="187"/>
      <c r="M314" s="52"/>
      <c r="N314" s="71"/>
      <c r="O314" s="71"/>
      <c r="P314" s="370"/>
      <c r="Q314" s="371"/>
    </row>
    <row r="315" spans="1:17" s="1" customFormat="1" ht="12.75" hidden="1">
      <c r="A315" s="270" t="s">
        <v>155</v>
      </c>
      <c r="B315" s="48"/>
      <c r="C315" s="49" t="s">
        <v>130</v>
      </c>
      <c r="D315" s="49" t="s">
        <v>131</v>
      </c>
      <c r="E315" s="50" t="s">
        <v>132</v>
      </c>
      <c r="F315" s="51" t="s">
        <v>133</v>
      </c>
      <c r="G315" s="71" t="e">
        <f>#REF!+#REF!+#REF!+#REF!+G159+#REF!+G248+G216+G179+G304+G187</f>
        <v>#REF!</v>
      </c>
      <c r="H315" s="52" t="e">
        <f>#REF!+#REF!+#REF!+#REF!+H159+#REF!+H248+H216+H179+H304+H187</f>
        <v>#REF!</v>
      </c>
      <c r="I315" s="52" t="e">
        <f>#REF!+#REF!+#REF!+#REF!+I159+#REF!+I248+I216+I179+I304+I187</f>
        <v>#REF!</v>
      </c>
      <c r="J315" s="71" t="e">
        <f>#REF!+#REF!+#REF!+#REF!+J159+#REF!+J248+J216+J179+J304+J187</f>
        <v>#REF!</v>
      </c>
      <c r="K315" s="173" t="e">
        <f>#REF!+#REF!+#REF!+#REF!+K159+#REF!+K248+K216+K179+K304+K187</f>
        <v>#REF!</v>
      </c>
      <c r="L315" s="187"/>
      <c r="M315" s="52"/>
      <c r="N315" s="71"/>
      <c r="O315" s="71"/>
      <c r="P315" s="370"/>
      <c r="Q315" s="371"/>
    </row>
    <row r="316" spans="1:17" s="1" customFormat="1" ht="12.75" hidden="1">
      <c r="A316" s="270" t="s">
        <v>173</v>
      </c>
      <c r="B316" s="48"/>
      <c r="C316" s="49" t="s">
        <v>130</v>
      </c>
      <c r="D316" s="49" t="s">
        <v>131</v>
      </c>
      <c r="E316" s="50" t="s">
        <v>132</v>
      </c>
      <c r="F316" s="51" t="s">
        <v>133</v>
      </c>
      <c r="G316" s="71" t="e">
        <f>#REF!+#REF!+#REF!+G160+G217+G180+G249+G254+G281+G188</f>
        <v>#REF!</v>
      </c>
      <c r="H316" s="52" t="e">
        <f>#REF!+#REF!+#REF!+H160+H217+H180+H249+H254+H281+H188</f>
        <v>#REF!</v>
      </c>
      <c r="I316" s="52" t="e">
        <f>#REF!+#REF!+#REF!+I160+I217+I180+I249+I254+I281+I188</f>
        <v>#REF!</v>
      </c>
      <c r="J316" s="71" t="e">
        <f>#REF!+#REF!+#REF!+J160+J217+J180+J249+J254+J281+J188</f>
        <v>#REF!</v>
      </c>
      <c r="K316" s="173" t="e">
        <f>#REF!+#REF!+#REF!+K160+K217+K180+K249+K254+K281+K188</f>
        <v>#REF!</v>
      </c>
      <c r="L316" s="187"/>
      <c r="M316" s="52"/>
      <c r="N316" s="71"/>
      <c r="O316" s="71"/>
      <c r="P316" s="370"/>
      <c r="Q316" s="371"/>
    </row>
    <row r="317" spans="1:17" s="1" customFormat="1" ht="12.75" hidden="1">
      <c r="A317" s="270" t="s">
        <v>174</v>
      </c>
      <c r="B317" s="48"/>
      <c r="C317" s="49" t="s">
        <v>130</v>
      </c>
      <c r="D317" s="49" t="s">
        <v>131</v>
      </c>
      <c r="E317" s="50" t="s">
        <v>132</v>
      </c>
      <c r="F317" s="51" t="s">
        <v>133</v>
      </c>
      <c r="G317" s="71" t="e">
        <f>#REF!+#REF!+#REF!+G161+G250+G218+G181+G305</f>
        <v>#REF!</v>
      </c>
      <c r="H317" s="52" t="e">
        <f>#REF!+#REF!+#REF!+H161+H250+H218+H181+H305</f>
        <v>#REF!</v>
      </c>
      <c r="I317" s="52" t="e">
        <f>#REF!+#REF!+#REF!+I161+I250+I218+I181+I305</f>
        <v>#REF!</v>
      </c>
      <c r="J317" s="71" t="e">
        <f>#REF!+#REF!+#REF!+J161+J250+J218+J181+J305</f>
        <v>#REF!</v>
      </c>
      <c r="K317" s="173" t="e">
        <f>#REF!+#REF!+#REF!+K161+K250+K218+K181+K305</f>
        <v>#REF!</v>
      </c>
      <c r="L317" s="187"/>
      <c r="M317" s="52"/>
      <c r="N317" s="71"/>
      <c r="O317" s="71"/>
      <c r="P317" s="370"/>
      <c r="Q317" s="371"/>
    </row>
    <row r="318" spans="1:17" s="1" customFormat="1" ht="12.75" hidden="1">
      <c r="A318" s="270" t="s">
        <v>156</v>
      </c>
      <c r="B318" s="48"/>
      <c r="C318" s="49" t="s">
        <v>130</v>
      </c>
      <c r="D318" s="49" t="s">
        <v>131</v>
      </c>
      <c r="E318" s="50" t="s">
        <v>132</v>
      </c>
      <c r="F318" s="51" t="s">
        <v>133</v>
      </c>
      <c r="G318" s="71" t="e">
        <f>#REF!+#REF!+#REF!+#REF!+G162+#REF!+G251+G219+G182+G255</f>
        <v>#REF!</v>
      </c>
      <c r="H318" s="52" t="e">
        <f>#REF!+#REF!+#REF!+#REF!+H162+#REF!+H251+H219+H182+H255</f>
        <v>#REF!</v>
      </c>
      <c r="I318" s="52" t="e">
        <f>#REF!+#REF!+#REF!+#REF!+I162+#REF!+I251+I219+I182+I255</f>
        <v>#REF!</v>
      </c>
      <c r="J318" s="71" t="e">
        <f>#REF!+#REF!+#REF!+#REF!+J162+#REF!+J251+J219+J182+J255</f>
        <v>#REF!</v>
      </c>
      <c r="K318" s="173" t="e">
        <f>#REF!+#REF!+#REF!+#REF!+K162+#REF!+K251+K219+K182+K255</f>
        <v>#REF!</v>
      </c>
      <c r="L318" s="187"/>
      <c r="M318" s="52"/>
      <c r="N318" s="71"/>
      <c r="O318" s="71"/>
      <c r="P318" s="370"/>
      <c r="Q318" s="371"/>
    </row>
    <row r="319" spans="1:17" s="1" customFormat="1" ht="12.75" hidden="1">
      <c r="A319" s="270" t="s">
        <v>157</v>
      </c>
      <c r="B319" s="48"/>
      <c r="C319" s="49" t="s">
        <v>130</v>
      </c>
      <c r="D319" s="49" t="s">
        <v>131</v>
      </c>
      <c r="E319" s="50" t="s">
        <v>132</v>
      </c>
      <c r="F319" s="51" t="s">
        <v>133</v>
      </c>
      <c r="G319" s="71" t="e">
        <f>#REF!+#REF!+#REF!+G298+#REF!+G291+G163+G292+G252+G220+G183+G306+G256+G189+G145+G282</f>
        <v>#REF!</v>
      </c>
      <c r="H319" s="52" t="e">
        <f>#REF!+#REF!+#REF!+H298+#REF!+H291+H163+H292+H252+H220+H183+H306+H256+H189+H145+H282</f>
        <v>#REF!</v>
      </c>
      <c r="I319" s="52" t="e">
        <f>#REF!+#REF!+#REF!+I298+#REF!+I291+I163+I292+I252+I220+I183+I306+I256+I189+I145+I282</f>
        <v>#REF!</v>
      </c>
      <c r="J319" s="71" t="e">
        <f>#REF!+#REF!+#REF!+J298+#REF!+J291+J163+J292+J252+J220+J183+J306+J256+J189+J145+J282</f>
        <v>#REF!</v>
      </c>
      <c r="K319" s="173" t="e">
        <f>#REF!+#REF!+#REF!+K298+#REF!+K291+K163+K292+K252+K220+K183+K306+K256+K189+K145+K282</f>
        <v>#REF!</v>
      </c>
      <c r="L319" s="187"/>
      <c r="M319" s="52"/>
      <c r="N319" s="71"/>
      <c r="O319" s="71"/>
      <c r="P319" s="370"/>
      <c r="Q319" s="371"/>
    </row>
    <row r="320" spans="1:17" s="1" customFormat="1" ht="12.75" hidden="1">
      <c r="A320" s="270" t="s">
        <v>214</v>
      </c>
      <c r="B320" s="48"/>
      <c r="C320" s="49" t="s">
        <v>130</v>
      </c>
      <c r="D320" s="49" t="s">
        <v>131</v>
      </c>
      <c r="E320" s="50" t="s">
        <v>132</v>
      </c>
      <c r="F320" s="51" t="s">
        <v>133</v>
      </c>
      <c r="G320" s="71" t="e">
        <f>G321</f>
        <v>#REF!</v>
      </c>
      <c r="H320" s="52" t="e">
        <f>H321</f>
        <v>#REF!</v>
      </c>
      <c r="I320" s="52" t="e">
        <f>I321</f>
        <v>#REF!</v>
      </c>
      <c r="J320" s="71" t="e">
        <f>J321</f>
        <v>#REF!</v>
      </c>
      <c r="K320" s="173" t="e">
        <f>K321</f>
        <v>#REF!</v>
      </c>
      <c r="L320" s="187"/>
      <c r="M320" s="52"/>
      <c r="N320" s="71"/>
      <c r="O320" s="71"/>
      <c r="P320" s="370"/>
      <c r="Q320" s="371"/>
    </row>
    <row r="321" spans="1:17" s="1" customFormat="1" ht="12.75" hidden="1">
      <c r="A321" s="270" t="s">
        <v>214</v>
      </c>
      <c r="B321" s="48"/>
      <c r="C321" s="49" t="s">
        <v>130</v>
      </c>
      <c r="D321" s="49" t="s">
        <v>131</v>
      </c>
      <c r="E321" s="50" t="s">
        <v>132</v>
      </c>
      <c r="F321" s="51" t="s">
        <v>133</v>
      </c>
      <c r="G321" s="71" t="e">
        <f>#REF!</f>
        <v>#REF!</v>
      </c>
      <c r="H321" s="52" t="e">
        <f>#REF!</f>
        <v>#REF!</v>
      </c>
      <c r="I321" s="52" t="e">
        <f>#REF!</f>
        <v>#REF!</v>
      </c>
      <c r="J321" s="71" t="e">
        <f>#REF!</f>
        <v>#REF!</v>
      </c>
      <c r="K321" s="173" t="e">
        <f>#REF!</f>
        <v>#REF!</v>
      </c>
      <c r="L321" s="187"/>
      <c r="M321" s="52"/>
      <c r="N321" s="71"/>
      <c r="O321" s="71"/>
      <c r="P321" s="370"/>
      <c r="Q321" s="371"/>
    </row>
    <row r="322" spans="1:17" s="1" customFormat="1" ht="12.75" hidden="1">
      <c r="A322" s="270" t="s">
        <v>158</v>
      </c>
      <c r="B322" s="48"/>
      <c r="C322" s="49" t="s">
        <v>130</v>
      </c>
      <c r="D322" s="49" t="s">
        <v>131</v>
      </c>
      <c r="E322" s="50" t="s">
        <v>132</v>
      </c>
      <c r="F322" s="51" t="s">
        <v>133</v>
      </c>
      <c r="G322" s="71" t="e">
        <f>#REF!+#REF!+#REF!+#REF!+#REF!+#REF!+G299+G164+G253+G221+G184</f>
        <v>#REF!</v>
      </c>
      <c r="H322" s="52" t="e">
        <f>#REF!+#REF!+#REF!+#REF!+#REF!+#REF!+H299+H164+H253+H221+H184</f>
        <v>#REF!</v>
      </c>
      <c r="I322" s="52" t="e">
        <f>#REF!+#REF!+#REF!+#REF!+#REF!+#REF!+I299+I164+I253+I221+I184</f>
        <v>#REF!</v>
      </c>
      <c r="J322" s="71" t="e">
        <f>#REF!+#REF!+#REF!+#REF!+#REF!+#REF!+J299+J164+J253+J221+J184</f>
        <v>#REF!</v>
      </c>
      <c r="K322" s="173" t="e">
        <f>#REF!+#REF!+#REF!+#REF!+#REF!+#REF!+K299+K164+K253+K221+K184</f>
        <v>#REF!</v>
      </c>
      <c r="L322" s="187"/>
      <c r="M322" s="52"/>
      <c r="N322" s="71"/>
      <c r="O322" s="71"/>
      <c r="P322" s="370"/>
      <c r="Q322" s="371"/>
    </row>
    <row r="323" spans="1:17" s="1" customFormat="1" ht="12.75" hidden="1">
      <c r="A323" s="270" t="s">
        <v>159</v>
      </c>
      <c r="B323" s="48"/>
      <c r="C323" s="49" t="s">
        <v>130</v>
      </c>
      <c r="D323" s="49" t="s">
        <v>131</v>
      </c>
      <c r="E323" s="50" t="s">
        <v>132</v>
      </c>
      <c r="F323" s="51" t="s">
        <v>133</v>
      </c>
      <c r="G323" s="71" t="e">
        <f>SUM(G324:G325)</f>
        <v>#REF!</v>
      </c>
      <c r="H323" s="52" t="e">
        <f>SUM(H324:H325)</f>
        <v>#REF!</v>
      </c>
      <c r="I323" s="52" t="e">
        <f>SUM(I324:I325)</f>
        <v>#REF!</v>
      </c>
      <c r="J323" s="71" t="e">
        <f>SUM(J324:J325)</f>
        <v>#REF!</v>
      </c>
      <c r="K323" s="173" t="e">
        <f>SUM(K324:K325)</f>
        <v>#REF!</v>
      </c>
      <c r="L323" s="187"/>
      <c r="M323" s="52"/>
      <c r="N323" s="71"/>
      <c r="O323" s="71"/>
      <c r="P323" s="370"/>
      <c r="Q323" s="371"/>
    </row>
    <row r="324" spans="1:17" s="1" customFormat="1" ht="12.75" hidden="1">
      <c r="A324" s="270" t="s">
        <v>160</v>
      </c>
      <c r="B324" s="48"/>
      <c r="C324" s="49" t="s">
        <v>130</v>
      </c>
      <c r="D324" s="49" t="s">
        <v>131</v>
      </c>
      <c r="E324" s="50" t="s">
        <v>132</v>
      </c>
      <c r="F324" s="51" t="s">
        <v>133</v>
      </c>
      <c r="G324" s="71" t="e">
        <f>#REF!+#REF!+#REF!+#REF!+G166+G258+G223+G191+G147+G284</f>
        <v>#REF!</v>
      </c>
      <c r="H324" s="52" t="e">
        <f>#REF!+#REF!+#REF!+#REF!+H166+H258+H223+H191+H147+H284</f>
        <v>#REF!</v>
      </c>
      <c r="I324" s="52" t="e">
        <f>#REF!+#REF!+#REF!+#REF!+I166+I258+I223+I191+I147+I284</f>
        <v>#REF!</v>
      </c>
      <c r="J324" s="71" t="e">
        <f>#REF!+#REF!+#REF!+#REF!+J166+J258+J223+J191+J147+J284</f>
        <v>#REF!</v>
      </c>
      <c r="K324" s="173" t="e">
        <f>#REF!+#REF!+#REF!+#REF!+K166+K258+K223+K191+K147+K284</f>
        <v>#REF!</v>
      </c>
      <c r="L324" s="187"/>
      <c r="M324" s="52"/>
      <c r="N324" s="71"/>
      <c r="O324" s="71"/>
      <c r="P324" s="370"/>
      <c r="Q324" s="371"/>
    </row>
    <row r="325" spans="1:17" s="1" customFormat="1" ht="12.75" hidden="1">
      <c r="A325" s="270" t="s">
        <v>161</v>
      </c>
      <c r="B325" s="48"/>
      <c r="C325" s="49" t="s">
        <v>130</v>
      </c>
      <c r="D325" s="49" t="s">
        <v>131</v>
      </c>
      <c r="E325" s="50" t="s">
        <v>132</v>
      </c>
      <c r="F325" s="51" t="s">
        <v>133</v>
      </c>
      <c r="G325" s="71" t="e">
        <f>#REF!+#REF!+#REF!+#REF!+G167+G135+G259+G224+G192+G148+G285</f>
        <v>#REF!</v>
      </c>
      <c r="H325" s="52" t="e">
        <f>#REF!+#REF!+#REF!+#REF!+H167+H135+H259+H224+H192+H148+H285</f>
        <v>#REF!</v>
      </c>
      <c r="I325" s="52" t="e">
        <f>#REF!+#REF!+#REF!+#REF!+I167+I135+I259+I224+I192+I148+I285</f>
        <v>#REF!</v>
      </c>
      <c r="J325" s="71" t="e">
        <f>#REF!+#REF!+#REF!+#REF!+J167+J135+J259+J224+J192+J148+J285</f>
        <v>#REF!</v>
      </c>
      <c r="K325" s="173" t="e">
        <f>#REF!+#REF!+#REF!+#REF!+K167+K135+K259+K224+K192+K148+K285</f>
        <v>#REF!</v>
      </c>
      <c r="L325" s="187"/>
      <c r="M325" s="52"/>
      <c r="N325" s="71"/>
      <c r="O325" s="71"/>
      <c r="P325" s="370"/>
      <c r="Q325" s="371"/>
    </row>
    <row r="326" spans="1:17" s="1" customFormat="1" ht="0.75" customHeight="1" hidden="1">
      <c r="A326" s="270" t="s">
        <v>215</v>
      </c>
      <c r="B326" s="48"/>
      <c r="C326" s="49" t="s">
        <v>130</v>
      </c>
      <c r="D326" s="49" t="s">
        <v>131</v>
      </c>
      <c r="E326" s="50" t="s">
        <v>132</v>
      </c>
      <c r="F326" s="51" t="s">
        <v>133</v>
      </c>
      <c r="G326" s="71">
        <v>0</v>
      </c>
      <c r="H326" s="52">
        <v>0</v>
      </c>
      <c r="I326" s="52">
        <v>0</v>
      </c>
      <c r="J326" s="71">
        <v>0</v>
      </c>
      <c r="K326" s="173">
        <v>0</v>
      </c>
      <c r="L326" s="187"/>
      <c r="M326" s="52"/>
      <c r="N326" s="71"/>
      <c r="O326" s="71"/>
      <c r="P326" s="370"/>
      <c r="Q326" s="371"/>
    </row>
    <row r="327" spans="1:17" s="1" customFormat="1" ht="12.75" hidden="1">
      <c r="A327" s="270" t="s">
        <v>216</v>
      </c>
      <c r="B327" s="48"/>
      <c r="C327" s="49" t="s">
        <v>130</v>
      </c>
      <c r="D327" s="49" t="s">
        <v>131</v>
      </c>
      <c r="E327" s="50" t="s">
        <v>132</v>
      </c>
      <c r="F327" s="51" t="s">
        <v>133</v>
      </c>
      <c r="G327" s="71">
        <v>0</v>
      </c>
      <c r="H327" s="52">
        <v>0</v>
      </c>
      <c r="I327" s="52">
        <v>0</v>
      </c>
      <c r="J327" s="71">
        <v>0</v>
      </c>
      <c r="K327" s="173">
        <v>0</v>
      </c>
      <c r="L327" s="187"/>
      <c r="M327" s="52"/>
      <c r="N327" s="71"/>
      <c r="O327" s="71"/>
      <c r="P327" s="370"/>
      <c r="Q327" s="371"/>
    </row>
    <row r="328" spans="1:17" s="1" customFormat="1" ht="12.75" hidden="1">
      <c r="A328" s="281" t="s">
        <v>217</v>
      </c>
      <c r="B328" s="66"/>
      <c r="C328" s="92" t="s">
        <v>130</v>
      </c>
      <c r="D328" s="92" t="s">
        <v>131</v>
      </c>
      <c r="E328" s="93" t="s">
        <v>132</v>
      </c>
      <c r="F328" s="94" t="s">
        <v>133</v>
      </c>
      <c r="G328" s="134" t="e">
        <f>G310+G311+G312+G314+G315+G316+G317+G318+G319+G321+G322+G324+G325+G326+G327</f>
        <v>#REF!</v>
      </c>
      <c r="H328" s="89" t="e">
        <f>H310+H311+H312+H314+H315+H316+H317+H318+H319+H321+H322+H324+H325+H326+H327</f>
        <v>#REF!</v>
      </c>
      <c r="I328" s="89" t="e">
        <f>I310+I311+I312+I314+I315+I316+I317+I318+I319+I321+I322+I324+I325+I326+I327</f>
        <v>#REF!</v>
      </c>
      <c r="J328" s="134" t="e">
        <f>J310+J311+J312+J314+J315+J316+J317+J318+J319+J321+J322+J324+J325+J326+J327</f>
        <v>#REF!</v>
      </c>
      <c r="K328" s="161" t="e">
        <f>K310+K311+K312+K314+K315+K316+K317+K318+K319+K321+K322+K324+K325+K326+K327</f>
        <v>#REF!</v>
      </c>
      <c r="L328" s="238"/>
      <c r="M328" s="89"/>
      <c r="N328" s="134"/>
      <c r="O328" s="134"/>
      <c r="P328" s="394"/>
      <c r="Q328" s="395"/>
    </row>
    <row r="329" spans="1:17" s="1" customFormat="1" ht="25.5">
      <c r="A329" s="286" t="s">
        <v>564</v>
      </c>
      <c r="B329" s="48" t="s">
        <v>134</v>
      </c>
      <c r="C329" s="49" t="s">
        <v>130</v>
      </c>
      <c r="D329" s="49" t="s">
        <v>193</v>
      </c>
      <c r="E329" s="50" t="s">
        <v>563</v>
      </c>
      <c r="F329" s="51"/>
      <c r="G329" s="71">
        <f aca="true" t="shared" si="61" ref="G329:J331">G331</f>
        <v>273.2</v>
      </c>
      <c r="H329" s="52">
        <f t="shared" si="61"/>
        <v>293.9</v>
      </c>
      <c r="I329" s="52">
        <f t="shared" si="61"/>
        <v>312.7</v>
      </c>
      <c r="J329" s="71">
        <f t="shared" si="61"/>
        <v>273.2</v>
      </c>
      <c r="K329" s="173">
        <f aca="true" t="shared" si="62" ref="K329:N331">K390+K393</f>
        <v>0</v>
      </c>
      <c r="L329" s="173">
        <f t="shared" si="62"/>
        <v>0</v>
      </c>
      <c r="M329" s="173">
        <f t="shared" si="62"/>
        <v>0</v>
      </c>
      <c r="N329" s="173">
        <f t="shared" si="62"/>
        <v>0</v>
      </c>
      <c r="O329" s="71">
        <f aca="true" t="shared" si="63" ref="O329:Q330">O330</f>
        <v>427</v>
      </c>
      <c r="P329" s="370">
        <f t="shared" si="63"/>
        <v>453.9</v>
      </c>
      <c r="Q329" s="371">
        <f t="shared" si="63"/>
        <v>479.8</v>
      </c>
    </row>
    <row r="330" spans="1:17" s="1" customFormat="1" ht="25.5">
      <c r="A330" s="344" t="s">
        <v>565</v>
      </c>
      <c r="B330" s="26" t="s">
        <v>134</v>
      </c>
      <c r="C330" s="27" t="s">
        <v>130</v>
      </c>
      <c r="D330" s="27" t="s">
        <v>193</v>
      </c>
      <c r="E330" s="95" t="s">
        <v>566</v>
      </c>
      <c r="F330" s="28"/>
      <c r="G330" s="155">
        <f t="shared" si="61"/>
        <v>355.7</v>
      </c>
      <c r="H330" s="205">
        <f t="shared" si="61"/>
        <v>382.7</v>
      </c>
      <c r="I330" s="205">
        <f t="shared" si="61"/>
        <v>407.1</v>
      </c>
      <c r="J330" s="155">
        <f t="shared" si="61"/>
        <v>29.4</v>
      </c>
      <c r="K330" s="167">
        <f t="shared" si="62"/>
        <v>50</v>
      </c>
      <c r="L330" s="167">
        <f t="shared" si="62"/>
        <v>0</v>
      </c>
      <c r="M330" s="167">
        <f t="shared" si="62"/>
        <v>0</v>
      </c>
      <c r="N330" s="167">
        <f t="shared" si="62"/>
        <v>50</v>
      </c>
      <c r="O330" s="155">
        <f t="shared" si="63"/>
        <v>427</v>
      </c>
      <c r="P330" s="396">
        <f t="shared" si="63"/>
        <v>453.9</v>
      </c>
      <c r="Q330" s="397">
        <f t="shared" si="63"/>
        <v>479.8</v>
      </c>
    </row>
    <row r="331" spans="1:17" s="1" customFormat="1" ht="38.25">
      <c r="A331" s="286" t="s">
        <v>567</v>
      </c>
      <c r="B331" s="48" t="s">
        <v>134</v>
      </c>
      <c r="C331" s="49" t="s">
        <v>130</v>
      </c>
      <c r="D331" s="49" t="s">
        <v>193</v>
      </c>
      <c r="E331" s="50" t="s">
        <v>568</v>
      </c>
      <c r="F331" s="51"/>
      <c r="G331" s="71">
        <f t="shared" si="61"/>
        <v>273.2</v>
      </c>
      <c r="H331" s="52">
        <f t="shared" si="61"/>
        <v>293.9</v>
      </c>
      <c r="I331" s="52">
        <f t="shared" si="61"/>
        <v>312.7</v>
      </c>
      <c r="J331" s="71">
        <f t="shared" si="61"/>
        <v>273.2</v>
      </c>
      <c r="K331" s="173">
        <f t="shared" si="62"/>
        <v>0</v>
      </c>
      <c r="L331" s="173">
        <f t="shared" si="62"/>
        <v>0</v>
      </c>
      <c r="M331" s="173">
        <f t="shared" si="62"/>
        <v>0</v>
      </c>
      <c r="N331" s="173">
        <f t="shared" si="62"/>
        <v>0</v>
      </c>
      <c r="O331" s="71">
        <f>O332+O335</f>
        <v>427</v>
      </c>
      <c r="P331" s="370">
        <f>P332+P335</f>
        <v>453.9</v>
      </c>
      <c r="Q331" s="371">
        <f>Q332+Q335</f>
        <v>479.8</v>
      </c>
    </row>
    <row r="332" spans="1:17" s="1" customFormat="1" ht="16.5" customHeight="1">
      <c r="A332" s="276" t="s">
        <v>79</v>
      </c>
      <c r="B332" s="99" t="s">
        <v>134</v>
      </c>
      <c r="C332" s="53" t="s">
        <v>130</v>
      </c>
      <c r="D332" s="53" t="s">
        <v>193</v>
      </c>
      <c r="E332" s="54" t="s">
        <v>568</v>
      </c>
      <c r="F332" s="75" t="s">
        <v>76</v>
      </c>
      <c r="G332" s="65">
        <f>G333+G334</f>
        <v>355.7</v>
      </c>
      <c r="H332" s="59">
        <f>H333+H334</f>
        <v>382.7</v>
      </c>
      <c r="I332" s="59">
        <f>I333+I334</f>
        <v>407.1</v>
      </c>
      <c r="J332" s="65">
        <v>29.4</v>
      </c>
      <c r="K332" s="164">
        <v>385.1</v>
      </c>
      <c r="L332" s="189">
        <v>-3.36</v>
      </c>
      <c r="M332" s="59"/>
      <c r="N332" s="65">
        <v>427</v>
      </c>
      <c r="O332" s="65">
        <v>427</v>
      </c>
      <c r="P332" s="374">
        <v>453.9</v>
      </c>
      <c r="Q332" s="375">
        <v>479.8</v>
      </c>
    </row>
    <row r="333" spans="1:17" s="1" customFormat="1" ht="14.25" customHeight="1" hidden="1">
      <c r="A333" s="272"/>
      <c r="B333" s="105"/>
      <c r="C333" s="74"/>
      <c r="D333" s="74"/>
      <c r="E333" s="79"/>
      <c r="F333" s="58" t="s">
        <v>146</v>
      </c>
      <c r="G333" s="76">
        <v>273.2</v>
      </c>
      <c r="H333" s="98">
        <v>293.9</v>
      </c>
      <c r="I333" s="98">
        <v>312.7</v>
      </c>
      <c r="J333" s="76">
        <v>273.2</v>
      </c>
      <c r="K333" s="164">
        <f>G333+J333</f>
        <v>546.4</v>
      </c>
      <c r="L333" s="189"/>
      <c r="M333" s="59"/>
      <c r="N333" s="65">
        <f aca="true" t="shared" si="64" ref="N333:Q334">K333+L333+M333</f>
        <v>546.4</v>
      </c>
      <c r="O333" s="65">
        <f t="shared" si="64"/>
        <v>546.4</v>
      </c>
      <c r="P333" s="374">
        <f t="shared" si="64"/>
        <v>1092.8</v>
      </c>
      <c r="Q333" s="375">
        <f t="shared" si="64"/>
        <v>2185.6</v>
      </c>
    </row>
    <row r="334" spans="1:17" s="1" customFormat="1" ht="13.5" customHeight="1" hidden="1">
      <c r="A334" s="270"/>
      <c r="B334" s="99"/>
      <c r="C334" s="53"/>
      <c r="D334" s="53"/>
      <c r="E334" s="54"/>
      <c r="F334" s="55" t="s">
        <v>148</v>
      </c>
      <c r="G334" s="65">
        <v>82.5</v>
      </c>
      <c r="H334" s="59">
        <v>88.8</v>
      </c>
      <c r="I334" s="59">
        <v>94.4</v>
      </c>
      <c r="J334" s="65">
        <v>82.5</v>
      </c>
      <c r="K334" s="164">
        <f>G334+J334</f>
        <v>165</v>
      </c>
      <c r="L334" s="189"/>
      <c r="M334" s="59"/>
      <c r="N334" s="65">
        <f t="shared" si="64"/>
        <v>165</v>
      </c>
      <c r="O334" s="65">
        <f t="shared" si="64"/>
        <v>165</v>
      </c>
      <c r="P334" s="374">
        <f t="shared" si="64"/>
        <v>330</v>
      </c>
      <c r="Q334" s="375">
        <f t="shared" si="64"/>
        <v>660</v>
      </c>
    </row>
    <row r="335" spans="1:17" s="1" customFormat="1" ht="16.5" customHeight="1" thickBot="1">
      <c r="A335" s="271" t="s">
        <v>80</v>
      </c>
      <c r="B335" s="99" t="s">
        <v>134</v>
      </c>
      <c r="C335" s="53" t="s">
        <v>130</v>
      </c>
      <c r="D335" s="53" t="s">
        <v>193</v>
      </c>
      <c r="E335" s="54" t="s">
        <v>568</v>
      </c>
      <c r="F335" s="58" t="s">
        <v>77</v>
      </c>
      <c r="G335" s="65">
        <v>53.9</v>
      </c>
      <c r="H335" s="59">
        <v>58</v>
      </c>
      <c r="I335" s="59">
        <v>61.8</v>
      </c>
      <c r="J335" s="65"/>
      <c r="K335" s="164">
        <v>53.9</v>
      </c>
      <c r="L335" s="189">
        <v>3.36</v>
      </c>
      <c r="M335" s="59"/>
      <c r="N335" s="65"/>
      <c r="O335" s="65"/>
      <c r="P335" s="374"/>
      <c r="Q335" s="375"/>
    </row>
    <row r="336" spans="1:17" s="1" customFormat="1" ht="1.5" customHeight="1" hidden="1" thickBot="1">
      <c r="A336" s="272"/>
      <c r="B336" s="26"/>
      <c r="C336" s="27"/>
      <c r="D336" s="27"/>
      <c r="E336" s="95"/>
      <c r="F336" s="58" t="s">
        <v>164</v>
      </c>
      <c r="G336" s="65"/>
      <c r="H336" s="59"/>
      <c r="I336" s="59"/>
      <c r="J336" s="65"/>
      <c r="K336" s="164"/>
      <c r="L336" s="189"/>
      <c r="M336" s="59"/>
      <c r="N336" s="65"/>
      <c r="O336" s="65"/>
      <c r="P336" s="374"/>
      <c r="Q336" s="375"/>
    </row>
    <row r="337" spans="1:17" s="1" customFormat="1" ht="13.5" hidden="1" thickBot="1">
      <c r="A337" s="270"/>
      <c r="B337" s="48"/>
      <c r="C337" s="49"/>
      <c r="D337" s="49"/>
      <c r="E337" s="50"/>
      <c r="F337" s="55" t="s">
        <v>167</v>
      </c>
      <c r="G337" s="65"/>
      <c r="H337" s="59"/>
      <c r="I337" s="59"/>
      <c r="J337" s="65"/>
      <c r="K337" s="164"/>
      <c r="L337" s="189"/>
      <c r="M337" s="59"/>
      <c r="N337" s="65"/>
      <c r="O337" s="65"/>
      <c r="P337" s="374"/>
      <c r="Q337" s="375"/>
    </row>
    <row r="338" spans="1:17" s="1" customFormat="1" ht="17.25" customHeight="1" hidden="1" thickBot="1">
      <c r="A338" s="270"/>
      <c r="B338" s="48"/>
      <c r="C338" s="49"/>
      <c r="D338" s="49"/>
      <c r="E338" s="50"/>
      <c r="F338" s="55" t="s">
        <v>169</v>
      </c>
      <c r="G338" s="65"/>
      <c r="H338" s="59"/>
      <c r="I338" s="59"/>
      <c r="J338" s="65"/>
      <c r="K338" s="164"/>
      <c r="L338" s="189"/>
      <c r="M338" s="59"/>
      <c r="N338" s="65"/>
      <c r="O338" s="65"/>
      <c r="P338" s="374"/>
      <c r="Q338" s="375"/>
    </row>
    <row r="339" spans="1:17" s="1" customFormat="1" ht="13.5" hidden="1" thickBot="1">
      <c r="A339" s="273"/>
      <c r="B339" s="35"/>
      <c r="C339" s="36"/>
      <c r="D339" s="36"/>
      <c r="E339" s="96"/>
      <c r="F339" s="62" t="s">
        <v>170</v>
      </c>
      <c r="G339" s="70"/>
      <c r="H339" s="63"/>
      <c r="I339" s="63"/>
      <c r="J339" s="70"/>
      <c r="K339" s="177"/>
      <c r="L339" s="189"/>
      <c r="M339" s="59"/>
      <c r="N339" s="65"/>
      <c r="O339" s="65"/>
      <c r="P339" s="374"/>
      <c r="Q339" s="375"/>
    </row>
    <row r="340" spans="1:17" s="1" customFormat="1" ht="16.5" customHeight="1" thickBot="1">
      <c r="A340" s="274" t="s">
        <v>402</v>
      </c>
      <c r="B340" s="21" t="s">
        <v>133</v>
      </c>
      <c r="C340" s="22" t="s">
        <v>130</v>
      </c>
      <c r="D340" s="22" t="s">
        <v>193</v>
      </c>
      <c r="E340" s="23" t="s">
        <v>219</v>
      </c>
      <c r="F340" s="24"/>
      <c r="G340" s="132">
        <f aca="true" t="shared" si="65" ref="G340:O340">G342</f>
        <v>500</v>
      </c>
      <c r="H340" s="25">
        <f t="shared" si="65"/>
        <v>0</v>
      </c>
      <c r="I340" s="25">
        <f t="shared" si="65"/>
        <v>0</v>
      </c>
      <c r="J340" s="132">
        <f t="shared" si="65"/>
        <v>0</v>
      </c>
      <c r="K340" s="175">
        <f t="shared" si="65"/>
        <v>500</v>
      </c>
      <c r="L340" s="175">
        <f t="shared" si="65"/>
        <v>0</v>
      </c>
      <c r="M340" s="175">
        <f t="shared" si="65"/>
        <v>0</v>
      </c>
      <c r="N340" s="175">
        <f t="shared" si="65"/>
        <v>0</v>
      </c>
      <c r="O340" s="132">
        <f t="shared" si="65"/>
        <v>1216</v>
      </c>
      <c r="P340" s="378">
        <f>P342</f>
        <v>1062</v>
      </c>
      <c r="Q340" s="379">
        <f>Q342</f>
        <v>1062</v>
      </c>
    </row>
    <row r="341" spans="1:17" s="1" customFormat="1" ht="16.5" customHeight="1">
      <c r="A341" s="269" t="s">
        <v>403</v>
      </c>
      <c r="B341" s="43" t="s">
        <v>133</v>
      </c>
      <c r="C341" s="44" t="s">
        <v>130</v>
      </c>
      <c r="D341" s="44" t="s">
        <v>193</v>
      </c>
      <c r="E341" s="45" t="s">
        <v>404</v>
      </c>
      <c r="F341" s="46"/>
      <c r="G341" s="131"/>
      <c r="H341" s="47"/>
      <c r="I341" s="47"/>
      <c r="J341" s="131"/>
      <c r="K341" s="172"/>
      <c r="L341" s="172"/>
      <c r="M341" s="172"/>
      <c r="N341" s="172"/>
      <c r="O341" s="131">
        <f>O342</f>
        <v>1216</v>
      </c>
      <c r="P341" s="368">
        <f>P342</f>
        <v>1062</v>
      </c>
      <c r="Q341" s="369">
        <f>Q342</f>
        <v>1062</v>
      </c>
    </row>
    <row r="342" spans="1:17" s="1" customFormat="1" ht="25.5">
      <c r="A342" s="283" t="s">
        <v>401</v>
      </c>
      <c r="B342" s="73" t="s">
        <v>133</v>
      </c>
      <c r="C342" s="81" t="s">
        <v>130</v>
      </c>
      <c r="D342" s="81" t="s">
        <v>193</v>
      </c>
      <c r="E342" s="82" t="s">
        <v>399</v>
      </c>
      <c r="F342" s="77"/>
      <c r="G342" s="64">
        <f>G343+G345</f>
        <v>500</v>
      </c>
      <c r="H342" s="37">
        <f>H343+H345</f>
        <v>0</v>
      </c>
      <c r="I342" s="37">
        <f>I343+I345</f>
        <v>0</v>
      </c>
      <c r="J342" s="64">
        <f>J343+J345</f>
        <v>0</v>
      </c>
      <c r="K342" s="176">
        <f>K346+K348</f>
        <v>500</v>
      </c>
      <c r="L342" s="176">
        <f>L346+L348</f>
        <v>0</v>
      </c>
      <c r="M342" s="176">
        <f>M346+M348</f>
        <v>0</v>
      </c>
      <c r="N342" s="176">
        <f>N346+N348</f>
        <v>0</v>
      </c>
      <c r="O342" s="64">
        <f>O346+O347+O348</f>
        <v>1216</v>
      </c>
      <c r="P342" s="380">
        <f>P346+P347+P348</f>
        <v>1062</v>
      </c>
      <c r="Q342" s="381">
        <f>Q346+Q347+Q348</f>
        <v>1062</v>
      </c>
    </row>
    <row r="343" spans="1:17" s="1" customFormat="1" ht="13.5" customHeight="1" hidden="1">
      <c r="A343" s="284" t="s">
        <v>139</v>
      </c>
      <c r="B343" s="48" t="s">
        <v>185</v>
      </c>
      <c r="C343" s="53" t="s">
        <v>130</v>
      </c>
      <c r="D343" s="53" t="s">
        <v>193</v>
      </c>
      <c r="E343" s="54" t="s">
        <v>221</v>
      </c>
      <c r="F343" s="55" t="s">
        <v>140</v>
      </c>
      <c r="G343" s="65">
        <f>G344</f>
        <v>0</v>
      </c>
      <c r="H343" s="59">
        <f>H344</f>
        <v>0</v>
      </c>
      <c r="I343" s="59">
        <f>I344</f>
        <v>0</v>
      </c>
      <c r="J343" s="65">
        <f>J344</f>
        <v>0</v>
      </c>
      <c r="K343" s="164">
        <f>K344</f>
        <v>0</v>
      </c>
      <c r="L343" s="189"/>
      <c r="M343" s="59"/>
      <c r="N343" s="65"/>
      <c r="O343" s="65"/>
      <c r="P343" s="374"/>
      <c r="Q343" s="375"/>
    </row>
    <row r="344" spans="1:17" s="1" customFormat="1" ht="12.75" hidden="1">
      <c r="A344" s="285"/>
      <c r="B344" s="66"/>
      <c r="C344" s="67"/>
      <c r="D344" s="67"/>
      <c r="E344" s="68"/>
      <c r="F344" s="69" t="s">
        <v>167</v>
      </c>
      <c r="G344" s="65"/>
      <c r="H344" s="59"/>
      <c r="I344" s="59"/>
      <c r="J344" s="65"/>
      <c r="K344" s="164"/>
      <c r="L344" s="189"/>
      <c r="M344" s="59"/>
      <c r="N344" s="65"/>
      <c r="O344" s="65"/>
      <c r="P344" s="374"/>
      <c r="Q344" s="375"/>
    </row>
    <row r="345" spans="1:17" s="1" customFormat="1" ht="0.75" customHeight="1" hidden="1">
      <c r="A345" s="284" t="s">
        <v>139</v>
      </c>
      <c r="B345" s="48" t="s">
        <v>134</v>
      </c>
      <c r="C345" s="53" t="s">
        <v>130</v>
      </c>
      <c r="D345" s="53" t="s">
        <v>193</v>
      </c>
      <c r="E345" s="54" t="s">
        <v>221</v>
      </c>
      <c r="F345" s="55" t="s">
        <v>133</v>
      </c>
      <c r="G345" s="65">
        <f>G348</f>
        <v>500</v>
      </c>
      <c r="H345" s="59">
        <f>H348</f>
        <v>0</v>
      </c>
      <c r="I345" s="59">
        <f>I348</f>
        <v>0</v>
      </c>
      <c r="J345" s="65">
        <f>J348</f>
        <v>0</v>
      </c>
      <c r="K345" s="164">
        <f>K348</f>
        <v>500</v>
      </c>
      <c r="L345" s="189"/>
      <c r="M345" s="59"/>
      <c r="N345" s="65"/>
      <c r="O345" s="65"/>
      <c r="P345" s="374"/>
      <c r="Q345" s="375"/>
    </row>
    <row r="346" spans="1:17" s="1" customFormat="1" ht="15.75" customHeight="1">
      <c r="A346" s="277" t="s">
        <v>80</v>
      </c>
      <c r="B346" s="99" t="s">
        <v>185</v>
      </c>
      <c r="C346" s="53" t="s">
        <v>130</v>
      </c>
      <c r="D346" s="53" t="s">
        <v>193</v>
      </c>
      <c r="E346" s="54" t="s">
        <v>399</v>
      </c>
      <c r="F346" s="55" t="s">
        <v>77</v>
      </c>
      <c r="G346" s="65"/>
      <c r="H346" s="59"/>
      <c r="I346" s="59"/>
      <c r="J346" s="65"/>
      <c r="K346" s="164"/>
      <c r="L346" s="189">
        <v>400</v>
      </c>
      <c r="M346" s="59"/>
      <c r="N346" s="65"/>
      <c r="O346" s="65">
        <v>577</v>
      </c>
      <c r="P346" s="374">
        <v>480</v>
      </c>
      <c r="Q346" s="375">
        <v>480</v>
      </c>
    </row>
    <row r="347" spans="1:17" s="1" customFormat="1" ht="15.75" customHeight="1">
      <c r="A347" s="277" t="s">
        <v>80</v>
      </c>
      <c r="B347" s="99" t="s">
        <v>134</v>
      </c>
      <c r="C347" s="53" t="s">
        <v>130</v>
      </c>
      <c r="D347" s="53" t="s">
        <v>193</v>
      </c>
      <c r="E347" s="54" t="s">
        <v>400</v>
      </c>
      <c r="F347" s="55" t="s">
        <v>77</v>
      </c>
      <c r="G347" s="65"/>
      <c r="H347" s="59"/>
      <c r="I347" s="59"/>
      <c r="J347" s="65"/>
      <c r="K347" s="164"/>
      <c r="L347" s="189"/>
      <c r="M347" s="59"/>
      <c r="N347" s="65"/>
      <c r="O347" s="65">
        <v>459</v>
      </c>
      <c r="P347" s="374">
        <v>520</v>
      </c>
      <c r="Q347" s="375">
        <v>520</v>
      </c>
    </row>
    <row r="348" spans="1:17" s="1" customFormat="1" ht="15.75" customHeight="1" thickBot="1">
      <c r="A348" s="271" t="s">
        <v>80</v>
      </c>
      <c r="B348" s="105" t="s">
        <v>226</v>
      </c>
      <c r="C348" s="74" t="s">
        <v>130</v>
      </c>
      <c r="D348" s="74" t="s">
        <v>193</v>
      </c>
      <c r="E348" s="79" t="s">
        <v>400</v>
      </c>
      <c r="F348" s="58" t="s">
        <v>77</v>
      </c>
      <c r="G348" s="136">
        <v>500</v>
      </c>
      <c r="H348" s="97"/>
      <c r="I348" s="97"/>
      <c r="J348" s="136"/>
      <c r="K348" s="111">
        <v>500</v>
      </c>
      <c r="L348" s="199">
        <v>-400</v>
      </c>
      <c r="M348" s="98"/>
      <c r="N348" s="76"/>
      <c r="O348" s="76">
        <v>180</v>
      </c>
      <c r="P348" s="382">
        <v>62</v>
      </c>
      <c r="Q348" s="383">
        <v>62</v>
      </c>
    </row>
    <row r="349" spans="1:17" s="1" customFormat="1" ht="34.5" customHeight="1" thickBot="1">
      <c r="A349" s="267" t="s">
        <v>106</v>
      </c>
      <c r="B349" s="118" t="s">
        <v>133</v>
      </c>
      <c r="C349" s="119" t="s">
        <v>150</v>
      </c>
      <c r="D349" s="119" t="s">
        <v>131</v>
      </c>
      <c r="E349" s="120"/>
      <c r="F349" s="121"/>
      <c r="G349" s="129" t="e">
        <f aca="true" t="shared" si="66" ref="G349:N349">G350+G377</f>
        <v>#REF!</v>
      </c>
      <c r="H349" s="122" t="e">
        <f t="shared" si="66"/>
        <v>#REF!</v>
      </c>
      <c r="I349" s="122" t="e">
        <f t="shared" si="66"/>
        <v>#REF!</v>
      </c>
      <c r="J349" s="129" t="e">
        <f t="shared" si="66"/>
        <v>#REF!</v>
      </c>
      <c r="K349" s="170" t="e">
        <f t="shared" si="66"/>
        <v>#REF!</v>
      </c>
      <c r="L349" s="170" t="e">
        <f t="shared" si="66"/>
        <v>#REF!</v>
      </c>
      <c r="M349" s="170" t="e">
        <f t="shared" si="66"/>
        <v>#REF!</v>
      </c>
      <c r="N349" s="170">
        <f t="shared" si="66"/>
        <v>0</v>
      </c>
      <c r="O349" s="129">
        <f>O350+O377</f>
        <v>3634</v>
      </c>
      <c r="P349" s="364">
        <f>P350+P377</f>
        <v>4083</v>
      </c>
      <c r="Q349" s="365">
        <f>Q350+Q377</f>
        <v>4023</v>
      </c>
    </row>
    <row r="350" spans="1:17" s="1" customFormat="1" ht="16.5" customHeight="1" thickBot="1">
      <c r="A350" s="268" t="s">
        <v>223</v>
      </c>
      <c r="B350" s="16" t="s">
        <v>133</v>
      </c>
      <c r="C350" s="17" t="s">
        <v>150</v>
      </c>
      <c r="D350" s="17" t="s">
        <v>135</v>
      </c>
      <c r="E350" s="18"/>
      <c r="F350" s="19"/>
      <c r="G350" s="130" t="e">
        <f aca="true" t="shared" si="67" ref="G350:Q350">G351</f>
        <v>#REF!</v>
      </c>
      <c r="H350" s="130" t="e">
        <f t="shared" si="67"/>
        <v>#REF!</v>
      </c>
      <c r="I350" s="130" t="e">
        <f t="shared" si="67"/>
        <v>#REF!</v>
      </c>
      <c r="J350" s="130" t="e">
        <f t="shared" si="67"/>
        <v>#REF!</v>
      </c>
      <c r="K350" s="171" t="e">
        <f t="shared" si="67"/>
        <v>#REF!</v>
      </c>
      <c r="L350" s="171" t="e">
        <f t="shared" si="67"/>
        <v>#REF!</v>
      </c>
      <c r="M350" s="171" t="e">
        <f t="shared" si="67"/>
        <v>#REF!</v>
      </c>
      <c r="N350" s="171">
        <f t="shared" si="67"/>
        <v>0</v>
      </c>
      <c r="O350" s="130">
        <f t="shared" si="67"/>
        <v>3634</v>
      </c>
      <c r="P350" s="366">
        <f t="shared" si="67"/>
        <v>4083</v>
      </c>
      <c r="Q350" s="367">
        <f t="shared" si="67"/>
        <v>4023</v>
      </c>
    </row>
    <row r="351" spans="1:17" s="1" customFormat="1" ht="16.5" customHeight="1" thickBot="1">
      <c r="A351" s="274" t="s">
        <v>402</v>
      </c>
      <c r="B351" s="73" t="s">
        <v>134</v>
      </c>
      <c r="C351" s="81" t="s">
        <v>150</v>
      </c>
      <c r="D351" s="81" t="s">
        <v>135</v>
      </c>
      <c r="E351" s="82" t="s">
        <v>219</v>
      </c>
      <c r="F351" s="77"/>
      <c r="G351" s="64" t="e">
        <f aca="true" t="shared" si="68" ref="G351:N351">G357+G371</f>
        <v>#REF!</v>
      </c>
      <c r="H351" s="64" t="e">
        <f t="shared" si="68"/>
        <v>#REF!</v>
      </c>
      <c r="I351" s="64" t="e">
        <f t="shared" si="68"/>
        <v>#REF!</v>
      </c>
      <c r="J351" s="64" t="e">
        <f t="shared" si="68"/>
        <v>#REF!</v>
      </c>
      <c r="K351" s="176" t="e">
        <f t="shared" si="68"/>
        <v>#REF!</v>
      </c>
      <c r="L351" s="176" t="e">
        <f t="shared" si="68"/>
        <v>#REF!</v>
      </c>
      <c r="M351" s="176" t="e">
        <f t="shared" si="68"/>
        <v>#REF!</v>
      </c>
      <c r="N351" s="176">
        <f t="shared" si="68"/>
        <v>0</v>
      </c>
      <c r="O351" s="64">
        <f>O357+O371</f>
        <v>3634</v>
      </c>
      <c r="P351" s="380">
        <f>P357+P371</f>
        <v>4083</v>
      </c>
      <c r="Q351" s="381">
        <f>Q357+Q371</f>
        <v>4023</v>
      </c>
    </row>
    <row r="352" spans="1:17" s="1" customFormat="1" ht="12.75" hidden="1">
      <c r="A352" s="270" t="s">
        <v>139</v>
      </c>
      <c r="B352" s="48" t="s">
        <v>134</v>
      </c>
      <c r="C352" s="53" t="s">
        <v>150</v>
      </c>
      <c r="D352" s="53" t="s">
        <v>135</v>
      </c>
      <c r="E352" s="54" t="s">
        <v>219</v>
      </c>
      <c r="F352" s="55" t="s">
        <v>140</v>
      </c>
      <c r="G352" s="71">
        <f>G353+G365</f>
        <v>0</v>
      </c>
      <c r="H352" s="52">
        <f>H353+H365</f>
        <v>0</v>
      </c>
      <c r="I352" s="52">
        <f>I353+I365</f>
        <v>0</v>
      </c>
      <c r="J352" s="71">
        <f>J353+J365</f>
        <v>0</v>
      </c>
      <c r="K352" s="173">
        <f>K353+K365</f>
        <v>0</v>
      </c>
      <c r="L352" s="187"/>
      <c r="M352" s="52"/>
      <c r="N352" s="71"/>
      <c r="O352" s="71"/>
      <c r="P352" s="370"/>
      <c r="Q352" s="371"/>
    </row>
    <row r="353" spans="1:17" s="1" customFormat="1" ht="17.25" customHeight="1" hidden="1">
      <c r="A353" s="270" t="s">
        <v>141</v>
      </c>
      <c r="B353" s="48" t="s">
        <v>134</v>
      </c>
      <c r="C353" s="53" t="s">
        <v>150</v>
      </c>
      <c r="D353" s="53" t="s">
        <v>135</v>
      </c>
      <c r="E353" s="54" t="s">
        <v>219</v>
      </c>
      <c r="F353" s="55" t="s">
        <v>140</v>
      </c>
      <c r="G353" s="71"/>
      <c r="H353" s="52"/>
      <c r="I353" s="52"/>
      <c r="J353" s="71"/>
      <c r="K353" s="173"/>
      <c r="L353" s="187"/>
      <c r="M353" s="52"/>
      <c r="N353" s="71"/>
      <c r="O353" s="71"/>
      <c r="P353" s="370"/>
      <c r="Q353" s="371"/>
    </row>
    <row r="354" spans="1:17" s="1" customFormat="1" ht="12.75" hidden="1">
      <c r="A354" s="270" t="s">
        <v>153</v>
      </c>
      <c r="B354" s="48" t="s">
        <v>134</v>
      </c>
      <c r="C354" s="53" t="s">
        <v>150</v>
      </c>
      <c r="D354" s="53" t="s">
        <v>135</v>
      </c>
      <c r="E354" s="54" t="s">
        <v>219</v>
      </c>
      <c r="F354" s="55" t="s">
        <v>140</v>
      </c>
      <c r="G354" s="71"/>
      <c r="H354" s="52"/>
      <c r="I354" s="52"/>
      <c r="J354" s="71"/>
      <c r="K354" s="173"/>
      <c r="L354" s="187"/>
      <c r="M354" s="52"/>
      <c r="N354" s="71"/>
      <c r="O354" s="71"/>
      <c r="P354" s="370"/>
      <c r="Q354" s="371"/>
    </row>
    <row r="355" spans="1:17" s="1" customFormat="1" ht="12.75" hidden="1">
      <c r="A355" s="270" t="s">
        <v>157</v>
      </c>
      <c r="B355" s="48" t="s">
        <v>134</v>
      </c>
      <c r="C355" s="53" t="s">
        <v>150</v>
      </c>
      <c r="D355" s="53" t="s">
        <v>135</v>
      </c>
      <c r="E355" s="54" t="s">
        <v>225</v>
      </c>
      <c r="F355" s="55" t="s">
        <v>140</v>
      </c>
      <c r="G355" s="71"/>
      <c r="H355" s="52"/>
      <c r="I355" s="52"/>
      <c r="J355" s="71"/>
      <c r="K355" s="173"/>
      <c r="L355" s="187"/>
      <c r="M355" s="52"/>
      <c r="N355" s="71"/>
      <c r="O355" s="71"/>
      <c r="P355" s="370"/>
      <c r="Q355" s="371"/>
    </row>
    <row r="356" spans="1:17" s="1" customFormat="1" ht="12.75" customHeight="1" hidden="1">
      <c r="A356" s="270" t="s">
        <v>156</v>
      </c>
      <c r="B356" s="48" t="s">
        <v>134</v>
      </c>
      <c r="C356" s="53" t="s">
        <v>150</v>
      </c>
      <c r="D356" s="53" t="s">
        <v>135</v>
      </c>
      <c r="E356" s="54" t="s">
        <v>225</v>
      </c>
      <c r="F356" s="55" t="s">
        <v>140</v>
      </c>
      <c r="G356" s="71"/>
      <c r="H356" s="52"/>
      <c r="I356" s="52"/>
      <c r="J356" s="71"/>
      <c r="K356" s="173"/>
      <c r="L356" s="187"/>
      <c r="M356" s="52"/>
      <c r="N356" s="71"/>
      <c r="O356" s="71"/>
      <c r="P356" s="370"/>
      <c r="Q356" s="371"/>
    </row>
    <row r="357" spans="1:17" s="1" customFormat="1" ht="26.25" customHeight="1">
      <c r="A357" s="270" t="s">
        <v>608</v>
      </c>
      <c r="B357" s="48" t="s">
        <v>134</v>
      </c>
      <c r="C357" s="49" t="s">
        <v>150</v>
      </c>
      <c r="D357" s="49" t="s">
        <v>135</v>
      </c>
      <c r="E357" s="50" t="s">
        <v>350</v>
      </c>
      <c r="F357" s="51"/>
      <c r="G357" s="71">
        <f>G358</f>
        <v>50</v>
      </c>
      <c r="H357" s="52">
        <f>H358</f>
        <v>100</v>
      </c>
      <c r="I357" s="52">
        <f>I358</f>
        <v>131</v>
      </c>
      <c r="J357" s="71">
        <f>J358</f>
        <v>0</v>
      </c>
      <c r="K357" s="173">
        <f aca="true" t="shared" si="69" ref="K357:Q357">K369</f>
        <v>50</v>
      </c>
      <c r="L357" s="173">
        <f t="shared" si="69"/>
        <v>0</v>
      </c>
      <c r="M357" s="173">
        <f t="shared" si="69"/>
        <v>0</v>
      </c>
      <c r="N357" s="173">
        <f t="shared" si="69"/>
        <v>0</v>
      </c>
      <c r="O357" s="71">
        <f t="shared" si="69"/>
        <v>50</v>
      </c>
      <c r="P357" s="370">
        <f t="shared" si="69"/>
        <v>50</v>
      </c>
      <c r="Q357" s="371">
        <f t="shared" si="69"/>
        <v>50</v>
      </c>
    </row>
    <row r="358" spans="1:17" s="1" customFormat="1" ht="0.75" customHeight="1" hidden="1">
      <c r="A358" s="286" t="s">
        <v>139</v>
      </c>
      <c r="B358" s="48" t="s">
        <v>134</v>
      </c>
      <c r="C358" s="53" t="s">
        <v>150</v>
      </c>
      <c r="D358" s="53" t="s">
        <v>135</v>
      </c>
      <c r="E358" s="54" t="s">
        <v>225</v>
      </c>
      <c r="F358" s="55" t="s">
        <v>140</v>
      </c>
      <c r="G358" s="65">
        <f>G369</f>
        <v>50</v>
      </c>
      <c r="H358" s="59">
        <f>H369</f>
        <v>100</v>
      </c>
      <c r="I358" s="59">
        <f>I369</f>
        <v>131</v>
      </c>
      <c r="J358" s="65">
        <f>J369</f>
        <v>0</v>
      </c>
      <c r="K358" s="164">
        <f>K369</f>
        <v>50</v>
      </c>
      <c r="L358" s="189"/>
      <c r="M358" s="59"/>
      <c r="N358" s="65"/>
      <c r="O358" s="65"/>
      <c r="P358" s="374"/>
      <c r="Q358" s="375"/>
    </row>
    <row r="359" spans="1:17" s="1" customFormat="1" ht="12.75" hidden="1">
      <c r="A359" s="275" t="s">
        <v>157</v>
      </c>
      <c r="B359" s="73" t="s">
        <v>134</v>
      </c>
      <c r="C359" s="74" t="s">
        <v>150</v>
      </c>
      <c r="D359" s="74" t="s">
        <v>135</v>
      </c>
      <c r="E359" s="79" t="s">
        <v>219</v>
      </c>
      <c r="F359" s="75" t="s">
        <v>140</v>
      </c>
      <c r="G359" s="65"/>
      <c r="H359" s="59"/>
      <c r="I359" s="59"/>
      <c r="J359" s="65"/>
      <c r="K359" s="164"/>
      <c r="L359" s="189"/>
      <c r="M359" s="59"/>
      <c r="N359" s="65"/>
      <c r="O359" s="65"/>
      <c r="P359" s="374"/>
      <c r="Q359" s="375"/>
    </row>
    <row r="360" spans="1:17" s="1" customFormat="1" ht="12.75" hidden="1">
      <c r="A360" s="270" t="s">
        <v>157</v>
      </c>
      <c r="B360" s="48" t="s">
        <v>226</v>
      </c>
      <c r="C360" s="53" t="s">
        <v>150</v>
      </c>
      <c r="D360" s="53" t="s">
        <v>135</v>
      </c>
      <c r="E360" s="54" t="s">
        <v>219</v>
      </c>
      <c r="F360" s="55" t="s">
        <v>140</v>
      </c>
      <c r="G360" s="65"/>
      <c r="H360" s="59"/>
      <c r="I360" s="59"/>
      <c r="J360" s="65"/>
      <c r="K360" s="164"/>
      <c r="L360" s="189"/>
      <c r="M360" s="59"/>
      <c r="N360" s="65"/>
      <c r="O360" s="65"/>
      <c r="P360" s="374"/>
      <c r="Q360" s="375"/>
    </row>
    <row r="361" spans="1:17" s="1" customFormat="1" ht="12.75" hidden="1">
      <c r="A361" s="270" t="s">
        <v>158</v>
      </c>
      <c r="B361" s="48" t="s">
        <v>134</v>
      </c>
      <c r="C361" s="53" t="s">
        <v>150</v>
      </c>
      <c r="D361" s="53" t="s">
        <v>135</v>
      </c>
      <c r="E361" s="54" t="s">
        <v>219</v>
      </c>
      <c r="F361" s="55" t="s">
        <v>140</v>
      </c>
      <c r="G361" s="65"/>
      <c r="H361" s="59"/>
      <c r="I361" s="59"/>
      <c r="J361" s="65"/>
      <c r="K361" s="164"/>
      <c r="L361" s="189"/>
      <c r="M361" s="59"/>
      <c r="N361" s="65"/>
      <c r="O361" s="65"/>
      <c r="P361" s="374"/>
      <c r="Q361" s="375"/>
    </row>
    <row r="362" spans="1:17" s="1" customFormat="1" ht="12" customHeight="1" hidden="1">
      <c r="A362" s="270" t="s">
        <v>158</v>
      </c>
      <c r="B362" s="48" t="s">
        <v>134</v>
      </c>
      <c r="C362" s="53" t="s">
        <v>150</v>
      </c>
      <c r="D362" s="53" t="s">
        <v>135</v>
      </c>
      <c r="E362" s="54" t="s">
        <v>227</v>
      </c>
      <c r="F362" s="55" t="s">
        <v>140</v>
      </c>
      <c r="G362" s="65"/>
      <c r="H362" s="59"/>
      <c r="I362" s="59"/>
      <c r="J362" s="65"/>
      <c r="K362" s="164"/>
      <c r="L362" s="189"/>
      <c r="M362" s="59"/>
      <c r="N362" s="65"/>
      <c r="O362" s="65"/>
      <c r="P362" s="374"/>
      <c r="Q362" s="375"/>
    </row>
    <row r="363" spans="1:17" s="1" customFormat="1" ht="12.75" hidden="1">
      <c r="A363" s="270"/>
      <c r="B363" s="48"/>
      <c r="C363" s="53"/>
      <c r="D363" s="53"/>
      <c r="E363" s="54"/>
      <c r="F363" s="55"/>
      <c r="G363" s="65"/>
      <c r="H363" s="59"/>
      <c r="I363" s="59"/>
      <c r="J363" s="65"/>
      <c r="K363" s="164"/>
      <c r="L363" s="189"/>
      <c r="M363" s="59"/>
      <c r="N363" s="65"/>
      <c r="O363" s="65"/>
      <c r="P363" s="374"/>
      <c r="Q363" s="375"/>
    </row>
    <row r="364" spans="1:17" s="1" customFormat="1" ht="12.75" hidden="1">
      <c r="A364" s="270"/>
      <c r="B364" s="48"/>
      <c r="C364" s="53"/>
      <c r="D364" s="53"/>
      <c r="E364" s="54"/>
      <c r="F364" s="55"/>
      <c r="G364" s="65"/>
      <c r="H364" s="59"/>
      <c r="I364" s="59"/>
      <c r="J364" s="65"/>
      <c r="K364" s="164"/>
      <c r="L364" s="189"/>
      <c r="M364" s="59"/>
      <c r="N364" s="65"/>
      <c r="O364" s="65"/>
      <c r="P364" s="374"/>
      <c r="Q364" s="375"/>
    </row>
    <row r="365" spans="1:17" s="1" customFormat="1" ht="12.75" hidden="1">
      <c r="A365" s="270" t="s">
        <v>159</v>
      </c>
      <c r="B365" s="48" t="s">
        <v>134</v>
      </c>
      <c r="C365" s="53" t="s">
        <v>150</v>
      </c>
      <c r="D365" s="53" t="s">
        <v>135</v>
      </c>
      <c r="E365" s="54" t="s">
        <v>227</v>
      </c>
      <c r="F365" s="55" t="s">
        <v>140</v>
      </c>
      <c r="G365" s="65">
        <f>G368+G366</f>
        <v>0</v>
      </c>
      <c r="H365" s="59">
        <f>H368+H366</f>
        <v>0</v>
      </c>
      <c r="I365" s="59">
        <f>I368+I366</f>
        <v>0</v>
      </c>
      <c r="J365" s="65">
        <f>J368+J366</f>
        <v>0</v>
      </c>
      <c r="K365" s="164">
        <f>K368+K366</f>
        <v>0</v>
      </c>
      <c r="L365" s="189"/>
      <c r="M365" s="59"/>
      <c r="N365" s="65"/>
      <c r="O365" s="65"/>
      <c r="P365" s="374"/>
      <c r="Q365" s="375"/>
    </row>
    <row r="366" spans="1:17" s="1" customFormat="1" ht="12.75" customHeight="1" hidden="1">
      <c r="A366" s="270" t="s">
        <v>160</v>
      </c>
      <c r="B366" s="48" t="s">
        <v>134</v>
      </c>
      <c r="C366" s="53" t="s">
        <v>150</v>
      </c>
      <c r="D366" s="53" t="s">
        <v>135</v>
      </c>
      <c r="E366" s="54" t="s">
        <v>227</v>
      </c>
      <c r="F366" s="55" t="s">
        <v>140</v>
      </c>
      <c r="G366" s="65"/>
      <c r="H366" s="59"/>
      <c r="I366" s="59"/>
      <c r="J366" s="65"/>
      <c r="K366" s="164"/>
      <c r="L366" s="189"/>
      <c r="M366" s="59"/>
      <c r="N366" s="65"/>
      <c r="O366" s="65"/>
      <c r="P366" s="374"/>
      <c r="Q366" s="375"/>
    </row>
    <row r="367" spans="1:17" s="1" customFormat="1" ht="21.75" customHeight="1" hidden="1">
      <c r="A367" s="270"/>
      <c r="B367" s="48" t="s">
        <v>134</v>
      </c>
      <c r="C367" s="53" t="s">
        <v>150</v>
      </c>
      <c r="D367" s="53" t="s">
        <v>135</v>
      </c>
      <c r="E367" s="54" t="s">
        <v>227</v>
      </c>
      <c r="F367" s="55" t="s">
        <v>140</v>
      </c>
      <c r="G367" s="65"/>
      <c r="H367" s="59"/>
      <c r="I367" s="59"/>
      <c r="J367" s="65"/>
      <c r="K367" s="164"/>
      <c r="L367" s="189"/>
      <c r="M367" s="59"/>
      <c r="N367" s="65"/>
      <c r="O367" s="65"/>
      <c r="P367" s="374"/>
      <c r="Q367" s="375"/>
    </row>
    <row r="368" spans="1:17" s="1" customFormat="1" ht="9" customHeight="1" hidden="1">
      <c r="A368" s="281" t="s">
        <v>161</v>
      </c>
      <c r="B368" s="66" t="s">
        <v>134</v>
      </c>
      <c r="C368" s="67" t="s">
        <v>150</v>
      </c>
      <c r="D368" s="67" t="s">
        <v>135</v>
      </c>
      <c r="E368" s="68" t="s">
        <v>227</v>
      </c>
      <c r="F368" s="69" t="s">
        <v>140</v>
      </c>
      <c r="G368" s="65"/>
      <c r="H368" s="59"/>
      <c r="I368" s="59"/>
      <c r="J368" s="65"/>
      <c r="K368" s="164"/>
      <c r="L368" s="189"/>
      <c r="M368" s="59"/>
      <c r="N368" s="65"/>
      <c r="O368" s="65"/>
      <c r="P368" s="374"/>
      <c r="Q368" s="375"/>
    </row>
    <row r="369" spans="1:17" s="1" customFormat="1" ht="16.5" customHeight="1">
      <c r="A369" s="271" t="s">
        <v>80</v>
      </c>
      <c r="B369" s="99" t="s">
        <v>134</v>
      </c>
      <c r="C369" s="53" t="s">
        <v>150</v>
      </c>
      <c r="D369" s="53" t="s">
        <v>135</v>
      </c>
      <c r="E369" s="54" t="s">
        <v>350</v>
      </c>
      <c r="F369" s="58" t="s">
        <v>77</v>
      </c>
      <c r="G369" s="72">
        <f>G370</f>
        <v>50</v>
      </c>
      <c r="H369" s="80">
        <f>H370</f>
        <v>100</v>
      </c>
      <c r="I369" s="80">
        <f>I370</f>
        <v>131</v>
      </c>
      <c r="J369" s="72"/>
      <c r="K369" s="162">
        <v>50</v>
      </c>
      <c r="L369" s="189"/>
      <c r="M369" s="59"/>
      <c r="N369" s="65"/>
      <c r="O369" s="65">
        <v>50</v>
      </c>
      <c r="P369" s="374">
        <v>50</v>
      </c>
      <c r="Q369" s="375">
        <v>50</v>
      </c>
    </row>
    <row r="370" spans="1:17" s="1" customFormat="1" ht="15.75" customHeight="1" hidden="1">
      <c r="A370" s="272"/>
      <c r="B370" s="26"/>
      <c r="C370" s="56"/>
      <c r="D370" s="56"/>
      <c r="E370" s="57"/>
      <c r="F370" s="58" t="s">
        <v>170</v>
      </c>
      <c r="G370" s="72">
        <v>50</v>
      </c>
      <c r="H370" s="80">
        <v>100</v>
      </c>
      <c r="I370" s="80">
        <v>131</v>
      </c>
      <c r="J370" s="72">
        <v>50</v>
      </c>
      <c r="K370" s="162">
        <v>50</v>
      </c>
      <c r="L370" s="189"/>
      <c r="M370" s="59"/>
      <c r="N370" s="65"/>
      <c r="O370" s="65"/>
      <c r="P370" s="374"/>
      <c r="Q370" s="375"/>
    </row>
    <row r="371" spans="1:17" s="1" customFormat="1" ht="27.75" customHeight="1">
      <c r="A371" s="270" t="s">
        <v>405</v>
      </c>
      <c r="B371" s="48" t="s">
        <v>226</v>
      </c>
      <c r="C371" s="49" t="s">
        <v>150</v>
      </c>
      <c r="D371" s="49" t="s">
        <v>135</v>
      </c>
      <c r="E371" s="50" t="s">
        <v>348</v>
      </c>
      <c r="F371" s="51"/>
      <c r="G371" s="71" t="e">
        <f>G376+G407+#REF!+#REF!</f>
        <v>#REF!</v>
      </c>
      <c r="H371" s="71" t="e">
        <f>H376+H407+#REF!+#REF!</f>
        <v>#REF!</v>
      </c>
      <c r="I371" s="71" t="e">
        <f>I376+I407+#REF!+#REF!</f>
        <v>#REF!</v>
      </c>
      <c r="J371" s="71" t="e">
        <f>J376+J407+#REF!+#REF!</f>
        <v>#REF!</v>
      </c>
      <c r="K371" s="173" t="e">
        <f>K376+K407+#REF!+#REF!</f>
        <v>#REF!</v>
      </c>
      <c r="L371" s="173" t="e">
        <f>L376+L407+#REF!+#REF!</f>
        <v>#REF!</v>
      </c>
      <c r="M371" s="173" t="e">
        <f>M376+M407+#REF!+#REF!</f>
        <v>#REF!</v>
      </c>
      <c r="N371" s="173">
        <f>N373+N376</f>
        <v>0</v>
      </c>
      <c r="O371" s="71">
        <f>O373+O376</f>
        <v>3584</v>
      </c>
      <c r="P371" s="370">
        <f>P373+P376</f>
        <v>4033</v>
      </c>
      <c r="Q371" s="371">
        <f>Q373+Q376</f>
        <v>3973</v>
      </c>
    </row>
    <row r="372" spans="1:17" s="1" customFormat="1" ht="12.75" hidden="1">
      <c r="A372" s="286" t="s">
        <v>139</v>
      </c>
      <c r="B372" s="48" t="s">
        <v>226</v>
      </c>
      <c r="C372" s="53" t="s">
        <v>150</v>
      </c>
      <c r="D372" s="53" t="s">
        <v>135</v>
      </c>
      <c r="E372" s="54" t="s">
        <v>227</v>
      </c>
      <c r="F372" s="55" t="s">
        <v>140</v>
      </c>
      <c r="G372" s="65">
        <f>G376</f>
        <v>295</v>
      </c>
      <c r="H372" s="59">
        <f>H376</f>
        <v>350</v>
      </c>
      <c r="I372" s="59">
        <f>I376</f>
        <v>295</v>
      </c>
      <c r="J372" s="65">
        <f>J376</f>
        <v>-158.2879</v>
      </c>
      <c r="K372" s="164">
        <f>K376</f>
        <v>136.71</v>
      </c>
      <c r="L372" s="189"/>
      <c r="M372" s="59"/>
      <c r="N372" s="65"/>
      <c r="O372" s="65"/>
      <c r="P372" s="374"/>
      <c r="Q372" s="375"/>
    </row>
    <row r="373" spans="1:17" s="1" customFormat="1" ht="16.5" customHeight="1">
      <c r="A373" s="286" t="s">
        <v>406</v>
      </c>
      <c r="B373" s="48" t="s">
        <v>226</v>
      </c>
      <c r="C373" s="49" t="s">
        <v>407</v>
      </c>
      <c r="D373" s="49" t="s">
        <v>135</v>
      </c>
      <c r="E373" s="50" t="s">
        <v>408</v>
      </c>
      <c r="F373" s="55"/>
      <c r="G373" s="164"/>
      <c r="H373" s="164"/>
      <c r="I373" s="164"/>
      <c r="J373" s="164"/>
      <c r="K373" s="164"/>
      <c r="L373" s="189"/>
      <c r="M373" s="59"/>
      <c r="N373" s="65"/>
      <c r="O373" s="71">
        <f>O374+O375</f>
        <v>115</v>
      </c>
      <c r="P373" s="370">
        <f>P374+P375</f>
        <v>115</v>
      </c>
      <c r="Q373" s="371">
        <f>Q374+Q375</f>
        <v>115</v>
      </c>
    </row>
    <row r="374" spans="1:17" s="1" customFormat="1" ht="16.5" customHeight="1">
      <c r="A374" s="271" t="s">
        <v>80</v>
      </c>
      <c r="B374" s="143" t="s">
        <v>226</v>
      </c>
      <c r="C374" s="56" t="s">
        <v>150</v>
      </c>
      <c r="D374" s="56" t="s">
        <v>135</v>
      </c>
      <c r="E374" s="57" t="s">
        <v>408</v>
      </c>
      <c r="F374" s="58" t="s">
        <v>77</v>
      </c>
      <c r="G374" s="111"/>
      <c r="H374" s="111"/>
      <c r="I374" s="111"/>
      <c r="J374" s="111"/>
      <c r="K374" s="111"/>
      <c r="L374" s="239"/>
      <c r="M374" s="97"/>
      <c r="N374" s="136"/>
      <c r="O374" s="136">
        <v>90</v>
      </c>
      <c r="P374" s="398">
        <v>90</v>
      </c>
      <c r="Q374" s="399">
        <v>90</v>
      </c>
    </row>
    <row r="375" spans="1:17" s="1" customFormat="1" ht="16.5" customHeight="1">
      <c r="A375" s="299" t="s">
        <v>90</v>
      </c>
      <c r="B375" s="99" t="s">
        <v>226</v>
      </c>
      <c r="C375" s="53" t="s">
        <v>150</v>
      </c>
      <c r="D375" s="53" t="s">
        <v>135</v>
      </c>
      <c r="E375" s="54" t="s">
        <v>408</v>
      </c>
      <c r="F375" s="55" t="s">
        <v>83</v>
      </c>
      <c r="G375" s="164"/>
      <c r="H375" s="164"/>
      <c r="I375" s="164"/>
      <c r="J375" s="164"/>
      <c r="K375" s="164"/>
      <c r="L375" s="189"/>
      <c r="M375" s="59"/>
      <c r="N375" s="65"/>
      <c r="O375" s="65">
        <v>25</v>
      </c>
      <c r="P375" s="374">
        <v>25</v>
      </c>
      <c r="Q375" s="375">
        <v>25</v>
      </c>
    </row>
    <row r="376" spans="1:17" s="1" customFormat="1" ht="16.5" customHeight="1">
      <c r="A376" s="270" t="s">
        <v>409</v>
      </c>
      <c r="B376" s="48" t="s">
        <v>226</v>
      </c>
      <c r="C376" s="49" t="s">
        <v>150</v>
      </c>
      <c r="D376" s="49" t="s">
        <v>135</v>
      </c>
      <c r="E376" s="50" t="s">
        <v>410</v>
      </c>
      <c r="F376" s="51"/>
      <c r="G376" s="248">
        <v>295</v>
      </c>
      <c r="H376" s="159">
        <v>350</v>
      </c>
      <c r="I376" s="159">
        <v>295</v>
      </c>
      <c r="J376" s="159">
        <f>-150-8.2879</f>
        <v>-158.2879</v>
      </c>
      <c r="K376" s="182">
        <v>136.71</v>
      </c>
      <c r="L376" s="187"/>
      <c r="M376" s="52"/>
      <c r="N376" s="71">
        <f>N407</f>
        <v>0</v>
      </c>
      <c r="O376" s="71">
        <f>O407</f>
        <v>3469</v>
      </c>
      <c r="P376" s="370">
        <f>P407</f>
        <v>3918</v>
      </c>
      <c r="Q376" s="371">
        <f>Q407</f>
        <v>3858</v>
      </c>
    </row>
    <row r="377" spans="1:17" s="1" customFormat="1" ht="24.75" customHeight="1" hidden="1" thickBot="1">
      <c r="A377" s="275" t="s">
        <v>228</v>
      </c>
      <c r="B377" s="35" t="s">
        <v>134</v>
      </c>
      <c r="C377" s="36" t="s">
        <v>150</v>
      </c>
      <c r="D377" s="36" t="s">
        <v>229</v>
      </c>
      <c r="E377" s="96" t="s">
        <v>132</v>
      </c>
      <c r="F377" s="345" t="s">
        <v>133</v>
      </c>
      <c r="G377" s="334">
        <f>G378</f>
        <v>0</v>
      </c>
      <c r="H377" s="335">
        <f>H378</f>
        <v>0</v>
      </c>
      <c r="I377" s="335">
        <f>I378</f>
        <v>0</v>
      </c>
      <c r="J377" s="335">
        <f>J378</f>
        <v>0</v>
      </c>
      <c r="K377" s="222">
        <f aca="true" t="shared" si="70" ref="K377:K406">G377+J377</f>
        <v>0</v>
      </c>
      <c r="L377" s="199"/>
      <c r="M377" s="98"/>
      <c r="N377" s="76">
        <f aca="true" t="shared" si="71" ref="N377:N406">K377+L377+M377</f>
        <v>0</v>
      </c>
      <c r="O377" s="76">
        <f aca="true" t="shared" si="72" ref="O377:O406">L377+M377+N377</f>
        <v>0</v>
      </c>
      <c r="P377" s="382">
        <f aca="true" t="shared" si="73" ref="P377:P406">M377+N377+O377</f>
        <v>0</v>
      </c>
      <c r="Q377" s="383">
        <f aca="true" t="shared" si="74" ref="Q377:Q406">N377+O377+P377</f>
        <v>0</v>
      </c>
    </row>
    <row r="378" spans="1:17" s="1" customFormat="1" ht="15" customHeight="1" hidden="1" thickBot="1">
      <c r="A378" s="270" t="s">
        <v>218</v>
      </c>
      <c r="B378" s="21" t="s">
        <v>134</v>
      </c>
      <c r="C378" s="22" t="s">
        <v>150</v>
      </c>
      <c r="D378" s="22" t="s">
        <v>229</v>
      </c>
      <c r="E378" s="23" t="s">
        <v>219</v>
      </c>
      <c r="F378" s="24" t="s">
        <v>133</v>
      </c>
      <c r="G378" s="248">
        <f>G379+G382</f>
        <v>0</v>
      </c>
      <c r="H378" s="159">
        <f>H379+H382</f>
        <v>0</v>
      </c>
      <c r="I378" s="159">
        <f>I379+I382</f>
        <v>0</v>
      </c>
      <c r="J378" s="159">
        <f>J379+J382</f>
        <v>0</v>
      </c>
      <c r="K378" s="180">
        <f t="shared" si="70"/>
        <v>0</v>
      </c>
      <c r="L378" s="189"/>
      <c r="M378" s="59"/>
      <c r="N378" s="65">
        <f t="shared" si="71"/>
        <v>0</v>
      </c>
      <c r="O378" s="65">
        <f t="shared" si="72"/>
        <v>0</v>
      </c>
      <c r="P378" s="374">
        <f t="shared" si="73"/>
        <v>0</v>
      </c>
      <c r="Q378" s="375">
        <f t="shared" si="74"/>
        <v>0</v>
      </c>
    </row>
    <row r="379" spans="1:17" s="1" customFormat="1" ht="2.25" customHeight="1" hidden="1">
      <c r="A379" s="284" t="s">
        <v>230</v>
      </c>
      <c r="B379" s="73" t="s">
        <v>134</v>
      </c>
      <c r="C379" s="81" t="s">
        <v>150</v>
      </c>
      <c r="D379" s="81" t="s">
        <v>229</v>
      </c>
      <c r="E379" s="82" t="s">
        <v>231</v>
      </c>
      <c r="F379" s="77" t="s">
        <v>133</v>
      </c>
      <c r="G379" s="248">
        <f aca="true" t="shared" si="75" ref="G379:J380">G380</f>
        <v>0</v>
      </c>
      <c r="H379" s="159">
        <f t="shared" si="75"/>
        <v>0</v>
      </c>
      <c r="I379" s="159">
        <f t="shared" si="75"/>
        <v>0</v>
      </c>
      <c r="J379" s="159">
        <f t="shared" si="75"/>
        <v>0</v>
      </c>
      <c r="K379" s="180">
        <f t="shared" si="70"/>
        <v>0</v>
      </c>
      <c r="L379" s="189"/>
      <c r="M379" s="59"/>
      <c r="N379" s="65">
        <f t="shared" si="71"/>
        <v>0</v>
      </c>
      <c r="O379" s="65">
        <f t="shared" si="72"/>
        <v>0</v>
      </c>
      <c r="P379" s="374">
        <f t="shared" si="73"/>
        <v>0</v>
      </c>
      <c r="Q379" s="375">
        <f t="shared" si="74"/>
        <v>0</v>
      </c>
    </row>
    <row r="380" spans="1:17" s="1" customFormat="1" ht="12.75" hidden="1">
      <c r="A380" s="286" t="s">
        <v>139</v>
      </c>
      <c r="B380" s="73" t="s">
        <v>134</v>
      </c>
      <c r="C380" s="81" t="s">
        <v>150</v>
      </c>
      <c r="D380" s="81" t="s">
        <v>229</v>
      </c>
      <c r="E380" s="82" t="s">
        <v>231</v>
      </c>
      <c r="F380" s="77" t="s">
        <v>140</v>
      </c>
      <c r="G380" s="250">
        <f t="shared" si="75"/>
        <v>0</v>
      </c>
      <c r="H380" s="104">
        <f t="shared" si="75"/>
        <v>0</v>
      </c>
      <c r="I380" s="104">
        <f t="shared" si="75"/>
        <v>0</v>
      </c>
      <c r="J380" s="104">
        <f t="shared" si="75"/>
        <v>0</v>
      </c>
      <c r="K380" s="180">
        <f t="shared" si="70"/>
        <v>0</v>
      </c>
      <c r="L380" s="189"/>
      <c r="M380" s="59"/>
      <c r="N380" s="65">
        <f t="shared" si="71"/>
        <v>0</v>
      </c>
      <c r="O380" s="65">
        <f t="shared" si="72"/>
        <v>0</v>
      </c>
      <c r="P380" s="374">
        <f t="shared" si="73"/>
        <v>0</v>
      </c>
      <c r="Q380" s="375">
        <f t="shared" si="74"/>
        <v>0</v>
      </c>
    </row>
    <row r="381" spans="1:17" s="1" customFormat="1" ht="12.75" hidden="1">
      <c r="A381" s="286"/>
      <c r="B381" s="73"/>
      <c r="C381" s="81"/>
      <c r="D381" s="81"/>
      <c r="E381" s="82"/>
      <c r="F381" s="77" t="s">
        <v>167</v>
      </c>
      <c r="G381" s="250"/>
      <c r="H381" s="104"/>
      <c r="I381" s="104"/>
      <c r="J381" s="104"/>
      <c r="K381" s="180">
        <f t="shared" si="70"/>
        <v>0</v>
      </c>
      <c r="L381" s="189"/>
      <c r="M381" s="59"/>
      <c r="N381" s="65">
        <f t="shared" si="71"/>
        <v>0</v>
      </c>
      <c r="O381" s="65">
        <f t="shared" si="72"/>
        <v>0</v>
      </c>
      <c r="P381" s="374">
        <f t="shared" si="73"/>
        <v>0</v>
      </c>
      <c r="Q381" s="375">
        <f t="shared" si="74"/>
        <v>0</v>
      </c>
    </row>
    <row r="382" spans="1:17" s="1" customFormat="1" ht="25.5" hidden="1">
      <c r="A382" s="284" t="s">
        <v>232</v>
      </c>
      <c r="B382" s="48" t="s">
        <v>134</v>
      </c>
      <c r="C382" s="49" t="s">
        <v>150</v>
      </c>
      <c r="D382" s="49" t="s">
        <v>229</v>
      </c>
      <c r="E382" s="50" t="s">
        <v>233</v>
      </c>
      <c r="F382" s="51" t="s">
        <v>133</v>
      </c>
      <c r="G382" s="248">
        <f>G405</f>
        <v>0</v>
      </c>
      <c r="H382" s="159">
        <f>H405</f>
        <v>0</v>
      </c>
      <c r="I382" s="159">
        <f>I405</f>
        <v>0</v>
      </c>
      <c r="J382" s="159">
        <f>J405</f>
        <v>0</v>
      </c>
      <c r="K382" s="180">
        <f t="shared" si="70"/>
        <v>0</v>
      </c>
      <c r="L382" s="189"/>
      <c r="M382" s="59"/>
      <c r="N382" s="65">
        <f t="shared" si="71"/>
        <v>0</v>
      </c>
      <c r="O382" s="65">
        <f t="shared" si="72"/>
        <v>0</v>
      </c>
      <c r="P382" s="374">
        <f t="shared" si="73"/>
        <v>0</v>
      </c>
      <c r="Q382" s="375">
        <f t="shared" si="74"/>
        <v>0</v>
      </c>
    </row>
    <row r="383" spans="1:17" s="1" customFormat="1" ht="0.75" customHeight="1" hidden="1">
      <c r="A383" s="286" t="s">
        <v>234</v>
      </c>
      <c r="B383" s="48" t="s">
        <v>134</v>
      </c>
      <c r="C383" s="53" t="s">
        <v>150</v>
      </c>
      <c r="D383" s="53" t="s">
        <v>229</v>
      </c>
      <c r="E383" s="54" t="s">
        <v>231</v>
      </c>
      <c r="F383" s="55" t="s">
        <v>140</v>
      </c>
      <c r="G383" s="248">
        <f>G384</f>
        <v>0</v>
      </c>
      <c r="H383" s="159">
        <f>H384</f>
        <v>0</v>
      </c>
      <c r="I383" s="159">
        <f>I384</f>
        <v>0</v>
      </c>
      <c r="J383" s="159">
        <f>J384</f>
        <v>0</v>
      </c>
      <c r="K383" s="180">
        <f t="shared" si="70"/>
        <v>0</v>
      </c>
      <c r="L383" s="189"/>
      <c r="M383" s="59"/>
      <c r="N383" s="65">
        <f t="shared" si="71"/>
        <v>0</v>
      </c>
      <c r="O383" s="65">
        <f t="shared" si="72"/>
        <v>0</v>
      </c>
      <c r="P383" s="374">
        <f t="shared" si="73"/>
        <v>0</v>
      </c>
      <c r="Q383" s="375">
        <f t="shared" si="74"/>
        <v>0</v>
      </c>
    </row>
    <row r="384" spans="1:17" s="1" customFormat="1" ht="9" customHeight="1" hidden="1">
      <c r="A384" s="288" t="s">
        <v>206</v>
      </c>
      <c r="B384" s="48" t="s">
        <v>134</v>
      </c>
      <c r="C384" s="53" t="s">
        <v>150</v>
      </c>
      <c r="D384" s="53" t="s">
        <v>229</v>
      </c>
      <c r="E384" s="54" t="s">
        <v>231</v>
      </c>
      <c r="F384" s="55" t="s">
        <v>140</v>
      </c>
      <c r="G384" s="248"/>
      <c r="H384" s="159"/>
      <c r="I384" s="159"/>
      <c r="J384" s="159"/>
      <c r="K384" s="180">
        <f t="shared" si="70"/>
        <v>0</v>
      </c>
      <c r="L384" s="189"/>
      <c r="M384" s="59"/>
      <c r="N384" s="65">
        <f t="shared" si="71"/>
        <v>0</v>
      </c>
      <c r="O384" s="65">
        <f t="shared" si="72"/>
        <v>0</v>
      </c>
      <c r="P384" s="374">
        <f t="shared" si="73"/>
        <v>0</v>
      </c>
      <c r="Q384" s="375">
        <f t="shared" si="74"/>
        <v>0</v>
      </c>
    </row>
    <row r="385" spans="1:17" s="1" customFormat="1" ht="9" customHeight="1" hidden="1">
      <c r="A385" s="270" t="s">
        <v>222</v>
      </c>
      <c r="B385" s="48"/>
      <c r="C385" s="49" t="s">
        <v>150</v>
      </c>
      <c r="D385" s="49" t="s">
        <v>131</v>
      </c>
      <c r="E385" s="50" t="s">
        <v>132</v>
      </c>
      <c r="F385" s="51" t="s">
        <v>133</v>
      </c>
      <c r="G385" s="248">
        <f>G386+G399</f>
        <v>50</v>
      </c>
      <c r="H385" s="159">
        <f>H386+H399</f>
        <v>100</v>
      </c>
      <c r="I385" s="159">
        <f>I386+I399</f>
        <v>131</v>
      </c>
      <c r="J385" s="159">
        <f>J386+J399</f>
        <v>0</v>
      </c>
      <c r="K385" s="180">
        <f t="shared" si="70"/>
        <v>50</v>
      </c>
      <c r="L385" s="189"/>
      <c r="M385" s="59"/>
      <c r="N385" s="65">
        <f t="shared" si="71"/>
        <v>50</v>
      </c>
      <c r="O385" s="65">
        <f t="shared" si="72"/>
        <v>50</v>
      </c>
      <c r="P385" s="374">
        <f t="shared" si="73"/>
        <v>100</v>
      </c>
      <c r="Q385" s="375">
        <f t="shared" si="74"/>
        <v>200</v>
      </c>
    </row>
    <row r="386" spans="1:17" s="1" customFormat="1" ht="9" customHeight="1" hidden="1">
      <c r="A386" s="270" t="s">
        <v>141</v>
      </c>
      <c r="B386" s="48"/>
      <c r="C386" s="49" t="s">
        <v>150</v>
      </c>
      <c r="D386" s="49" t="s">
        <v>131</v>
      </c>
      <c r="E386" s="50" t="s">
        <v>132</v>
      </c>
      <c r="F386" s="51" t="s">
        <v>133</v>
      </c>
      <c r="G386" s="248">
        <f>G387+G391+G398</f>
        <v>50</v>
      </c>
      <c r="H386" s="159">
        <f>H387+H391+H398</f>
        <v>100</v>
      </c>
      <c r="I386" s="159">
        <f>I387+I391+I398</f>
        <v>131</v>
      </c>
      <c r="J386" s="159">
        <f>J387+J391+J398</f>
        <v>0</v>
      </c>
      <c r="K386" s="180">
        <f t="shared" si="70"/>
        <v>50</v>
      </c>
      <c r="L386" s="189"/>
      <c r="M386" s="59"/>
      <c r="N386" s="65">
        <f t="shared" si="71"/>
        <v>50</v>
      </c>
      <c r="O386" s="65">
        <f t="shared" si="72"/>
        <v>50</v>
      </c>
      <c r="P386" s="374">
        <f t="shared" si="73"/>
        <v>100</v>
      </c>
      <c r="Q386" s="375">
        <f t="shared" si="74"/>
        <v>200</v>
      </c>
    </row>
    <row r="387" spans="1:17" s="1" customFormat="1" ht="9" customHeight="1" hidden="1">
      <c r="A387" s="270" t="s">
        <v>142</v>
      </c>
      <c r="B387" s="48"/>
      <c r="C387" s="49" t="s">
        <v>150</v>
      </c>
      <c r="D387" s="49" t="s">
        <v>131</v>
      </c>
      <c r="E387" s="50" t="s">
        <v>132</v>
      </c>
      <c r="F387" s="51" t="s">
        <v>133</v>
      </c>
      <c r="G387" s="248">
        <f>SUM(G388:G390)</f>
        <v>0</v>
      </c>
      <c r="H387" s="159">
        <f>SUM(H388:H390)</f>
        <v>0</v>
      </c>
      <c r="I387" s="159">
        <f>SUM(I388:I390)</f>
        <v>0</v>
      </c>
      <c r="J387" s="159">
        <f>SUM(J388:J390)</f>
        <v>0</v>
      </c>
      <c r="K387" s="180">
        <f t="shared" si="70"/>
        <v>0</v>
      </c>
      <c r="L387" s="189"/>
      <c r="M387" s="59"/>
      <c r="N387" s="65">
        <f t="shared" si="71"/>
        <v>0</v>
      </c>
      <c r="O387" s="65">
        <f t="shared" si="72"/>
        <v>0</v>
      </c>
      <c r="P387" s="374">
        <f t="shared" si="73"/>
        <v>0</v>
      </c>
      <c r="Q387" s="375">
        <f t="shared" si="74"/>
        <v>0</v>
      </c>
    </row>
    <row r="388" spans="1:17" s="1" customFormat="1" ht="9" customHeight="1" hidden="1">
      <c r="A388" s="270" t="s">
        <v>143</v>
      </c>
      <c r="B388" s="48"/>
      <c r="C388" s="49" t="s">
        <v>150</v>
      </c>
      <c r="D388" s="49" t="s">
        <v>131</v>
      </c>
      <c r="E388" s="50" t="s">
        <v>132</v>
      </c>
      <c r="F388" s="51" t="s">
        <v>133</v>
      </c>
      <c r="G388" s="248">
        <v>0</v>
      </c>
      <c r="H388" s="159">
        <v>0</v>
      </c>
      <c r="I388" s="159">
        <v>0</v>
      </c>
      <c r="J388" s="159">
        <v>0</v>
      </c>
      <c r="K388" s="180">
        <f t="shared" si="70"/>
        <v>0</v>
      </c>
      <c r="L388" s="189"/>
      <c r="M388" s="59"/>
      <c r="N388" s="65">
        <f t="shared" si="71"/>
        <v>0</v>
      </c>
      <c r="O388" s="65">
        <f t="shared" si="72"/>
        <v>0</v>
      </c>
      <c r="P388" s="374">
        <f t="shared" si="73"/>
        <v>0</v>
      </c>
      <c r="Q388" s="375">
        <f t="shared" si="74"/>
        <v>0</v>
      </c>
    </row>
    <row r="389" spans="1:17" s="1" customFormat="1" ht="9" customHeight="1" hidden="1">
      <c r="A389" s="270" t="s">
        <v>144</v>
      </c>
      <c r="B389" s="48"/>
      <c r="C389" s="49" t="s">
        <v>150</v>
      </c>
      <c r="D389" s="49" t="s">
        <v>131</v>
      </c>
      <c r="E389" s="50" t="s">
        <v>132</v>
      </c>
      <c r="F389" s="51" t="s">
        <v>133</v>
      </c>
      <c r="G389" s="248">
        <v>0</v>
      </c>
      <c r="H389" s="159">
        <v>0</v>
      </c>
      <c r="I389" s="159">
        <v>0</v>
      </c>
      <c r="J389" s="159">
        <v>0</v>
      </c>
      <c r="K389" s="180">
        <f t="shared" si="70"/>
        <v>0</v>
      </c>
      <c r="L389" s="189"/>
      <c r="M389" s="59"/>
      <c r="N389" s="65">
        <f t="shared" si="71"/>
        <v>0</v>
      </c>
      <c r="O389" s="65">
        <f t="shared" si="72"/>
        <v>0</v>
      </c>
      <c r="P389" s="374">
        <f t="shared" si="73"/>
        <v>0</v>
      </c>
      <c r="Q389" s="375">
        <f t="shared" si="74"/>
        <v>0</v>
      </c>
    </row>
    <row r="390" spans="1:17" s="1" customFormat="1" ht="9" customHeight="1" hidden="1">
      <c r="A390" s="270" t="s">
        <v>145</v>
      </c>
      <c r="B390" s="48"/>
      <c r="C390" s="49" t="s">
        <v>150</v>
      </c>
      <c r="D390" s="49" t="s">
        <v>131</v>
      </c>
      <c r="E390" s="50" t="s">
        <v>132</v>
      </c>
      <c r="F390" s="51" t="s">
        <v>133</v>
      </c>
      <c r="G390" s="248">
        <v>0</v>
      </c>
      <c r="H390" s="159">
        <v>0</v>
      </c>
      <c r="I390" s="159">
        <v>0</v>
      </c>
      <c r="J390" s="159">
        <v>0</v>
      </c>
      <c r="K390" s="180">
        <f t="shared" si="70"/>
        <v>0</v>
      </c>
      <c r="L390" s="189"/>
      <c r="M390" s="59"/>
      <c r="N390" s="65">
        <f t="shared" si="71"/>
        <v>0</v>
      </c>
      <c r="O390" s="65">
        <f t="shared" si="72"/>
        <v>0</v>
      </c>
      <c r="P390" s="374">
        <f t="shared" si="73"/>
        <v>0</v>
      </c>
      <c r="Q390" s="375">
        <f t="shared" si="74"/>
        <v>0</v>
      </c>
    </row>
    <row r="391" spans="1:17" s="1" customFormat="1" ht="9" customHeight="1" hidden="1">
      <c r="A391" s="270" t="s">
        <v>153</v>
      </c>
      <c r="B391" s="48"/>
      <c r="C391" s="49" t="s">
        <v>150</v>
      </c>
      <c r="D391" s="49" t="s">
        <v>131</v>
      </c>
      <c r="E391" s="50" t="s">
        <v>132</v>
      </c>
      <c r="F391" s="51" t="s">
        <v>133</v>
      </c>
      <c r="G391" s="248">
        <f>SUM(G392:G397)</f>
        <v>50</v>
      </c>
      <c r="H391" s="159">
        <f>SUM(H392:H397)</f>
        <v>100</v>
      </c>
      <c r="I391" s="159">
        <f>SUM(I392:I397)</f>
        <v>131</v>
      </c>
      <c r="J391" s="159">
        <f>SUM(J392:J397)</f>
        <v>0</v>
      </c>
      <c r="K391" s="180">
        <f t="shared" si="70"/>
        <v>50</v>
      </c>
      <c r="L391" s="189"/>
      <c r="M391" s="59"/>
      <c r="N391" s="65">
        <f t="shared" si="71"/>
        <v>50</v>
      </c>
      <c r="O391" s="65">
        <f t="shared" si="72"/>
        <v>50</v>
      </c>
      <c r="P391" s="374">
        <f t="shared" si="73"/>
        <v>100</v>
      </c>
      <c r="Q391" s="375">
        <f t="shared" si="74"/>
        <v>200</v>
      </c>
    </row>
    <row r="392" spans="1:17" s="1" customFormat="1" ht="9" customHeight="1" hidden="1">
      <c r="A392" s="270" t="s">
        <v>154</v>
      </c>
      <c r="B392" s="48"/>
      <c r="C392" s="49" t="s">
        <v>150</v>
      </c>
      <c r="D392" s="49" t="s">
        <v>131</v>
      </c>
      <c r="E392" s="50" t="s">
        <v>132</v>
      </c>
      <c r="F392" s="51" t="s">
        <v>133</v>
      </c>
      <c r="G392" s="248">
        <v>0</v>
      </c>
      <c r="H392" s="159">
        <v>0</v>
      </c>
      <c r="I392" s="159">
        <v>0</v>
      </c>
      <c r="J392" s="159">
        <v>0</v>
      </c>
      <c r="K392" s="180">
        <f t="shared" si="70"/>
        <v>0</v>
      </c>
      <c r="L392" s="189"/>
      <c r="M392" s="59"/>
      <c r="N392" s="65">
        <f t="shared" si="71"/>
        <v>0</v>
      </c>
      <c r="O392" s="65">
        <f t="shared" si="72"/>
        <v>0</v>
      </c>
      <c r="P392" s="374">
        <f t="shared" si="73"/>
        <v>0</v>
      </c>
      <c r="Q392" s="375">
        <f t="shared" si="74"/>
        <v>0</v>
      </c>
    </row>
    <row r="393" spans="1:17" s="1" customFormat="1" ht="9" customHeight="1" hidden="1">
      <c r="A393" s="270" t="s">
        <v>155</v>
      </c>
      <c r="B393" s="48"/>
      <c r="C393" s="49" t="s">
        <v>150</v>
      </c>
      <c r="D393" s="49" t="s">
        <v>131</v>
      </c>
      <c r="E393" s="50" t="s">
        <v>132</v>
      </c>
      <c r="F393" s="51" t="s">
        <v>133</v>
      </c>
      <c r="G393" s="248">
        <v>0</v>
      </c>
      <c r="H393" s="159">
        <v>0</v>
      </c>
      <c r="I393" s="159">
        <v>0</v>
      </c>
      <c r="J393" s="159">
        <v>0</v>
      </c>
      <c r="K393" s="180">
        <f t="shared" si="70"/>
        <v>0</v>
      </c>
      <c r="L393" s="189"/>
      <c r="M393" s="59"/>
      <c r="N393" s="65">
        <f t="shared" si="71"/>
        <v>0</v>
      </c>
      <c r="O393" s="65">
        <f t="shared" si="72"/>
        <v>0</v>
      </c>
      <c r="P393" s="374">
        <f t="shared" si="73"/>
        <v>0</v>
      </c>
      <c r="Q393" s="375">
        <f t="shared" si="74"/>
        <v>0</v>
      </c>
    </row>
    <row r="394" spans="1:17" s="1" customFormat="1" ht="9" customHeight="1" hidden="1">
      <c r="A394" s="270" t="s">
        <v>173</v>
      </c>
      <c r="B394" s="48"/>
      <c r="C394" s="49" t="s">
        <v>150</v>
      </c>
      <c r="D394" s="49" t="s">
        <v>131</v>
      </c>
      <c r="E394" s="50" t="s">
        <v>132</v>
      </c>
      <c r="F394" s="51" t="s">
        <v>133</v>
      </c>
      <c r="G394" s="248">
        <v>0</v>
      </c>
      <c r="H394" s="159">
        <v>0</v>
      </c>
      <c r="I394" s="159">
        <v>0</v>
      </c>
      <c r="J394" s="159">
        <v>0</v>
      </c>
      <c r="K394" s="180">
        <f t="shared" si="70"/>
        <v>0</v>
      </c>
      <c r="L394" s="189"/>
      <c r="M394" s="59"/>
      <c r="N394" s="65">
        <f t="shared" si="71"/>
        <v>0</v>
      </c>
      <c r="O394" s="65">
        <f t="shared" si="72"/>
        <v>0</v>
      </c>
      <c r="P394" s="374">
        <f t="shared" si="73"/>
        <v>0</v>
      </c>
      <c r="Q394" s="375">
        <f t="shared" si="74"/>
        <v>0</v>
      </c>
    </row>
    <row r="395" spans="1:17" s="1" customFormat="1" ht="9" customHeight="1" hidden="1">
      <c r="A395" s="270" t="s">
        <v>174</v>
      </c>
      <c r="B395" s="48"/>
      <c r="C395" s="49" t="s">
        <v>150</v>
      </c>
      <c r="D395" s="49" t="s">
        <v>131</v>
      </c>
      <c r="E395" s="50" t="s">
        <v>132</v>
      </c>
      <c r="F395" s="51" t="s">
        <v>133</v>
      </c>
      <c r="G395" s="248">
        <v>0</v>
      </c>
      <c r="H395" s="159">
        <v>0</v>
      </c>
      <c r="I395" s="159">
        <v>0</v>
      </c>
      <c r="J395" s="159">
        <v>0</v>
      </c>
      <c r="K395" s="180">
        <f t="shared" si="70"/>
        <v>0</v>
      </c>
      <c r="L395" s="189"/>
      <c r="M395" s="59"/>
      <c r="N395" s="65">
        <f t="shared" si="71"/>
        <v>0</v>
      </c>
      <c r="O395" s="65">
        <f t="shared" si="72"/>
        <v>0</v>
      </c>
      <c r="P395" s="374">
        <f t="shared" si="73"/>
        <v>0</v>
      </c>
      <c r="Q395" s="375">
        <f t="shared" si="74"/>
        <v>0</v>
      </c>
    </row>
    <row r="396" spans="1:17" s="1" customFormat="1" ht="9" customHeight="1" hidden="1">
      <c r="A396" s="270" t="s">
        <v>156</v>
      </c>
      <c r="B396" s="48"/>
      <c r="C396" s="49" t="s">
        <v>150</v>
      </c>
      <c r="D396" s="49" t="s">
        <v>131</v>
      </c>
      <c r="E396" s="50" t="s">
        <v>132</v>
      </c>
      <c r="F396" s="51" t="s">
        <v>133</v>
      </c>
      <c r="G396" s="248">
        <f>G356</f>
        <v>0</v>
      </c>
      <c r="H396" s="159">
        <f>H356</f>
        <v>0</v>
      </c>
      <c r="I396" s="159">
        <f>I356</f>
        <v>0</v>
      </c>
      <c r="J396" s="159">
        <f>J356</f>
        <v>0</v>
      </c>
      <c r="K396" s="180">
        <f t="shared" si="70"/>
        <v>0</v>
      </c>
      <c r="L396" s="189"/>
      <c r="M396" s="59"/>
      <c r="N396" s="65">
        <f t="shared" si="71"/>
        <v>0</v>
      </c>
      <c r="O396" s="65">
        <f t="shared" si="72"/>
        <v>0</v>
      </c>
      <c r="P396" s="374">
        <f t="shared" si="73"/>
        <v>0</v>
      </c>
      <c r="Q396" s="375">
        <f t="shared" si="74"/>
        <v>0</v>
      </c>
    </row>
    <row r="397" spans="1:17" s="1" customFormat="1" ht="9" customHeight="1" hidden="1">
      <c r="A397" s="270" t="s">
        <v>157</v>
      </c>
      <c r="B397" s="48"/>
      <c r="C397" s="49" t="s">
        <v>150</v>
      </c>
      <c r="D397" s="49" t="s">
        <v>131</v>
      </c>
      <c r="E397" s="50" t="s">
        <v>132</v>
      </c>
      <c r="F397" s="51" t="s">
        <v>133</v>
      </c>
      <c r="G397" s="248">
        <f>G359+G360+G384+G355+G357</f>
        <v>50</v>
      </c>
      <c r="H397" s="159">
        <f>H359+H360+H384+H355+H357</f>
        <v>100</v>
      </c>
      <c r="I397" s="159">
        <f>I359+I360+I384+I355+I357</f>
        <v>131</v>
      </c>
      <c r="J397" s="159">
        <f>J359+J360+J384+J355+J357</f>
        <v>0</v>
      </c>
      <c r="K397" s="180">
        <f t="shared" si="70"/>
        <v>50</v>
      </c>
      <c r="L397" s="189"/>
      <c r="M397" s="59"/>
      <c r="N397" s="65">
        <f t="shared" si="71"/>
        <v>50</v>
      </c>
      <c r="O397" s="65">
        <f t="shared" si="72"/>
        <v>50</v>
      </c>
      <c r="P397" s="374">
        <f t="shared" si="73"/>
        <v>100</v>
      </c>
      <c r="Q397" s="375">
        <f t="shared" si="74"/>
        <v>200</v>
      </c>
    </row>
    <row r="398" spans="1:17" s="1" customFormat="1" ht="9" customHeight="1" hidden="1">
      <c r="A398" s="270" t="s">
        <v>158</v>
      </c>
      <c r="B398" s="48"/>
      <c r="C398" s="49" t="s">
        <v>150</v>
      </c>
      <c r="D398" s="49" t="s">
        <v>131</v>
      </c>
      <c r="E398" s="50" t="s">
        <v>132</v>
      </c>
      <c r="F398" s="51" t="s">
        <v>133</v>
      </c>
      <c r="G398" s="248">
        <f>G361+G362</f>
        <v>0</v>
      </c>
      <c r="H398" s="159">
        <f>H361+H362</f>
        <v>0</v>
      </c>
      <c r="I398" s="159">
        <f>I361+I362</f>
        <v>0</v>
      </c>
      <c r="J398" s="159">
        <f>J361+J362</f>
        <v>0</v>
      </c>
      <c r="K398" s="180">
        <f t="shared" si="70"/>
        <v>0</v>
      </c>
      <c r="L398" s="189"/>
      <c r="M398" s="59"/>
      <c r="N398" s="65">
        <f t="shared" si="71"/>
        <v>0</v>
      </c>
      <c r="O398" s="65">
        <f t="shared" si="72"/>
        <v>0</v>
      </c>
      <c r="P398" s="374">
        <f t="shared" si="73"/>
        <v>0</v>
      </c>
      <c r="Q398" s="375">
        <f t="shared" si="74"/>
        <v>0</v>
      </c>
    </row>
    <row r="399" spans="1:17" s="1" customFormat="1" ht="9" customHeight="1" hidden="1">
      <c r="A399" s="270" t="s">
        <v>159</v>
      </c>
      <c r="B399" s="48"/>
      <c r="C399" s="49" t="s">
        <v>150</v>
      </c>
      <c r="D399" s="49" t="s">
        <v>131</v>
      </c>
      <c r="E399" s="50" t="s">
        <v>132</v>
      </c>
      <c r="F399" s="51" t="s">
        <v>133</v>
      </c>
      <c r="G399" s="248">
        <f>SUM(G400:G401)</f>
        <v>0</v>
      </c>
      <c r="H399" s="159">
        <f>SUM(H400:H401)</f>
        <v>0</v>
      </c>
      <c r="I399" s="159">
        <f>SUM(I400:I401)</f>
        <v>0</v>
      </c>
      <c r="J399" s="159">
        <f>SUM(J400:J401)</f>
        <v>0</v>
      </c>
      <c r="K399" s="180">
        <f t="shared" si="70"/>
        <v>0</v>
      </c>
      <c r="L399" s="189"/>
      <c r="M399" s="59"/>
      <c r="N399" s="65">
        <f t="shared" si="71"/>
        <v>0</v>
      </c>
      <c r="O399" s="65">
        <f t="shared" si="72"/>
        <v>0</v>
      </c>
      <c r="P399" s="374">
        <f t="shared" si="73"/>
        <v>0</v>
      </c>
      <c r="Q399" s="375">
        <f t="shared" si="74"/>
        <v>0</v>
      </c>
    </row>
    <row r="400" spans="1:17" s="1" customFormat="1" ht="9" customHeight="1" hidden="1">
      <c r="A400" s="270" t="s">
        <v>160</v>
      </c>
      <c r="B400" s="48"/>
      <c r="C400" s="49" t="s">
        <v>150</v>
      </c>
      <c r="D400" s="49" t="s">
        <v>131</v>
      </c>
      <c r="E400" s="50" t="s">
        <v>132</v>
      </c>
      <c r="F400" s="51" t="s">
        <v>133</v>
      </c>
      <c r="G400" s="248">
        <f>G366</f>
        <v>0</v>
      </c>
      <c r="H400" s="159">
        <f>H366</f>
        <v>0</v>
      </c>
      <c r="I400" s="159">
        <f>I366</f>
        <v>0</v>
      </c>
      <c r="J400" s="159">
        <f>J366</f>
        <v>0</v>
      </c>
      <c r="K400" s="180">
        <f t="shared" si="70"/>
        <v>0</v>
      </c>
      <c r="L400" s="189"/>
      <c r="M400" s="59"/>
      <c r="N400" s="65">
        <f t="shared" si="71"/>
        <v>0</v>
      </c>
      <c r="O400" s="65">
        <f t="shared" si="72"/>
        <v>0</v>
      </c>
      <c r="P400" s="374">
        <f t="shared" si="73"/>
        <v>0</v>
      </c>
      <c r="Q400" s="375">
        <f t="shared" si="74"/>
        <v>0</v>
      </c>
    </row>
    <row r="401" spans="1:17" s="1" customFormat="1" ht="9" customHeight="1" hidden="1">
      <c r="A401" s="270" t="s">
        <v>161</v>
      </c>
      <c r="B401" s="48"/>
      <c r="C401" s="49" t="s">
        <v>150</v>
      </c>
      <c r="D401" s="49" t="s">
        <v>131</v>
      </c>
      <c r="E401" s="50" t="s">
        <v>132</v>
      </c>
      <c r="F401" s="51" t="s">
        <v>133</v>
      </c>
      <c r="G401" s="248">
        <f>G368</f>
        <v>0</v>
      </c>
      <c r="H401" s="159">
        <f>H368</f>
        <v>0</v>
      </c>
      <c r="I401" s="159">
        <f>I368</f>
        <v>0</v>
      </c>
      <c r="J401" s="159">
        <f>J368</f>
        <v>0</v>
      </c>
      <c r="K401" s="180">
        <f t="shared" si="70"/>
        <v>0</v>
      </c>
      <c r="L401" s="189"/>
      <c r="M401" s="59"/>
      <c r="N401" s="65">
        <f t="shared" si="71"/>
        <v>0</v>
      </c>
      <c r="O401" s="65">
        <f t="shared" si="72"/>
        <v>0</v>
      </c>
      <c r="P401" s="374">
        <f t="shared" si="73"/>
        <v>0</v>
      </c>
      <c r="Q401" s="375">
        <f t="shared" si="74"/>
        <v>0</v>
      </c>
    </row>
    <row r="402" spans="1:17" s="1" customFormat="1" ht="9" customHeight="1" hidden="1">
      <c r="A402" s="270" t="s">
        <v>215</v>
      </c>
      <c r="B402" s="48"/>
      <c r="C402" s="49" t="s">
        <v>150</v>
      </c>
      <c r="D402" s="49" t="s">
        <v>131</v>
      </c>
      <c r="E402" s="50" t="s">
        <v>132</v>
      </c>
      <c r="F402" s="51" t="s">
        <v>133</v>
      </c>
      <c r="G402" s="248">
        <f aca="true" t="shared" si="76" ref="G402:I403">G377</f>
        <v>0</v>
      </c>
      <c r="H402" s="159">
        <f t="shared" si="76"/>
        <v>0</v>
      </c>
      <c r="I402" s="159">
        <f t="shared" si="76"/>
        <v>0</v>
      </c>
      <c r="J402" s="159">
        <f>J377</f>
        <v>0</v>
      </c>
      <c r="K402" s="180">
        <f t="shared" si="70"/>
        <v>0</v>
      </c>
      <c r="L402" s="189"/>
      <c r="M402" s="59"/>
      <c r="N402" s="65">
        <f t="shared" si="71"/>
        <v>0</v>
      </c>
      <c r="O402" s="65">
        <f t="shared" si="72"/>
        <v>0</v>
      </c>
      <c r="P402" s="374">
        <f t="shared" si="73"/>
        <v>0</v>
      </c>
      <c r="Q402" s="375">
        <f t="shared" si="74"/>
        <v>0</v>
      </c>
    </row>
    <row r="403" spans="1:17" s="1" customFormat="1" ht="22.5" customHeight="1" hidden="1">
      <c r="A403" s="270" t="s">
        <v>216</v>
      </c>
      <c r="B403" s="48"/>
      <c r="C403" s="49" t="s">
        <v>150</v>
      </c>
      <c r="D403" s="49" t="s">
        <v>131</v>
      </c>
      <c r="E403" s="50" t="s">
        <v>132</v>
      </c>
      <c r="F403" s="51" t="s">
        <v>133</v>
      </c>
      <c r="G403" s="248">
        <f t="shared" si="76"/>
        <v>0</v>
      </c>
      <c r="H403" s="159">
        <f t="shared" si="76"/>
        <v>0</v>
      </c>
      <c r="I403" s="159">
        <f t="shared" si="76"/>
        <v>0</v>
      </c>
      <c r="J403" s="159">
        <f>J378</f>
        <v>0</v>
      </c>
      <c r="K403" s="180">
        <f t="shared" si="70"/>
        <v>0</v>
      </c>
      <c r="L403" s="189"/>
      <c r="M403" s="59"/>
      <c r="N403" s="65">
        <f t="shared" si="71"/>
        <v>0</v>
      </c>
      <c r="O403" s="65">
        <f t="shared" si="72"/>
        <v>0</v>
      </c>
      <c r="P403" s="374">
        <f t="shared" si="73"/>
        <v>0</v>
      </c>
      <c r="Q403" s="375">
        <f t="shared" si="74"/>
        <v>0</v>
      </c>
    </row>
    <row r="404" spans="1:17" s="1" customFormat="1" ht="14.25" customHeight="1" hidden="1">
      <c r="A404" s="270" t="s">
        <v>217</v>
      </c>
      <c r="B404" s="66"/>
      <c r="C404" s="92" t="s">
        <v>150</v>
      </c>
      <c r="D404" s="92" t="s">
        <v>131</v>
      </c>
      <c r="E404" s="93" t="s">
        <v>132</v>
      </c>
      <c r="F404" s="94" t="s">
        <v>133</v>
      </c>
      <c r="G404" s="248">
        <f>G388+G389+G390+G392+G393+G394+G395+G396+G397+G398+G399</f>
        <v>50</v>
      </c>
      <c r="H404" s="159">
        <f>H388+H389+H390+H392+H393+H394+H395+H396+H397+H398+H399</f>
        <v>100</v>
      </c>
      <c r="I404" s="159">
        <f>I388+I389+I390+I392+I393+I394+I395+I396+I397+I398+I399</f>
        <v>131</v>
      </c>
      <c r="J404" s="159">
        <f>J388+J389+J390+J392+J393+J394+J395+J396+J397+J398+J399</f>
        <v>0</v>
      </c>
      <c r="K404" s="180">
        <f t="shared" si="70"/>
        <v>50</v>
      </c>
      <c r="L404" s="189"/>
      <c r="M404" s="59"/>
      <c r="N404" s="65">
        <f t="shared" si="71"/>
        <v>50</v>
      </c>
      <c r="O404" s="65">
        <f t="shared" si="72"/>
        <v>50</v>
      </c>
      <c r="P404" s="374">
        <f t="shared" si="73"/>
        <v>100</v>
      </c>
      <c r="Q404" s="375">
        <f t="shared" si="74"/>
        <v>200</v>
      </c>
    </row>
    <row r="405" spans="1:17" s="1" customFormat="1" ht="12.75" hidden="1">
      <c r="A405" s="286" t="s">
        <v>139</v>
      </c>
      <c r="B405" s="48" t="s">
        <v>134</v>
      </c>
      <c r="C405" s="53" t="s">
        <v>150</v>
      </c>
      <c r="D405" s="53" t="s">
        <v>229</v>
      </c>
      <c r="E405" s="54" t="s">
        <v>233</v>
      </c>
      <c r="F405" s="55" t="s">
        <v>140</v>
      </c>
      <c r="G405" s="250">
        <f>G406</f>
        <v>0</v>
      </c>
      <c r="H405" s="104">
        <f>H406</f>
        <v>0</v>
      </c>
      <c r="I405" s="104">
        <f>I406</f>
        <v>0</v>
      </c>
      <c r="J405" s="104">
        <f>J406</f>
        <v>0</v>
      </c>
      <c r="K405" s="180">
        <f t="shared" si="70"/>
        <v>0</v>
      </c>
      <c r="L405" s="189"/>
      <c r="M405" s="59"/>
      <c r="N405" s="65">
        <f t="shared" si="71"/>
        <v>0</v>
      </c>
      <c r="O405" s="65">
        <f t="shared" si="72"/>
        <v>0</v>
      </c>
      <c r="P405" s="374">
        <f t="shared" si="73"/>
        <v>0</v>
      </c>
      <c r="Q405" s="375">
        <f t="shared" si="74"/>
        <v>0</v>
      </c>
    </row>
    <row r="406" spans="1:17" s="1" customFormat="1" ht="12.75" hidden="1">
      <c r="A406" s="286"/>
      <c r="B406" s="26"/>
      <c r="C406" s="56"/>
      <c r="D406" s="56"/>
      <c r="E406" s="57"/>
      <c r="F406" s="58" t="s">
        <v>167</v>
      </c>
      <c r="G406" s="250"/>
      <c r="H406" s="104"/>
      <c r="I406" s="104"/>
      <c r="J406" s="104"/>
      <c r="K406" s="180">
        <f t="shared" si="70"/>
        <v>0</v>
      </c>
      <c r="L406" s="189"/>
      <c r="M406" s="59"/>
      <c r="N406" s="65">
        <f t="shared" si="71"/>
        <v>0</v>
      </c>
      <c r="O406" s="65">
        <f t="shared" si="72"/>
        <v>0</v>
      </c>
      <c r="P406" s="374">
        <f t="shared" si="73"/>
        <v>0</v>
      </c>
      <c r="Q406" s="375">
        <f t="shared" si="74"/>
        <v>0</v>
      </c>
    </row>
    <row r="407" spans="1:17" s="1" customFormat="1" ht="16.5" customHeight="1" thickBot="1">
      <c r="A407" s="301" t="s">
        <v>90</v>
      </c>
      <c r="B407" s="141" t="s">
        <v>226</v>
      </c>
      <c r="C407" s="67" t="s">
        <v>150</v>
      </c>
      <c r="D407" s="67" t="s">
        <v>135</v>
      </c>
      <c r="E407" s="68" t="s">
        <v>410</v>
      </c>
      <c r="F407" s="69" t="s">
        <v>83</v>
      </c>
      <c r="G407" s="252"/>
      <c r="H407" s="241"/>
      <c r="I407" s="241"/>
      <c r="J407" s="241">
        <v>8.2879</v>
      </c>
      <c r="K407" s="242">
        <v>8.29</v>
      </c>
      <c r="L407" s="194"/>
      <c r="M407" s="80"/>
      <c r="N407" s="72"/>
      <c r="O407" s="72">
        <v>3469</v>
      </c>
      <c r="P407" s="388">
        <v>3918</v>
      </c>
      <c r="Q407" s="389">
        <v>3858</v>
      </c>
    </row>
    <row r="408" spans="1:17" s="1" customFormat="1" ht="16.5" customHeight="1" thickBot="1">
      <c r="A408" s="267" t="s">
        <v>107</v>
      </c>
      <c r="B408" s="118" t="s">
        <v>133</v>
      </c>
      <c r="C408" s="119" t="s">
        <v>171</v>
      </c>
      <c r="D408" s="119" t="s">
        <v>131</v>
      </c>
      <c r="E408" s="120"/>
      <c r="F408" s="121"/>
      <c r="G408" s="129" t="e">
        <f aca="true" t="shared" si="77" ref="G408:M408">G478+G474</f>
        <v>#REF!</v>
      </c>
      <c r="H408" s="129" t="e">
        <f t="shared" si="77"/>
        <v>#REF!</v>
      </c>
      <c r="I408" s="129" t="e">
        <f t="shared" si="77"/>
        <v>#REF!</v>
      </c>
      <c r="J408" s="129" t="e">
        <f t="shared" si="77"/>
        <v>#REF!</v>
      </c>
      <c r="K408" s="170" t="e">
        <f t="shared" si="77"/>
        <v>#REF!</v>
      </c>
      <c r="L408" s="170" t="e">
        <f t="shared" si="77"/>
        <v>#REF!</v>
      </c>
      <c r="M408" s="170" t="e">
        <f t="shared" si="77"/>
        <v>#REF!</v>
      </c>
      <c r="N408" s="170">
        <f>N469+N478</f>
        <v>0</v>
      </c>
      <c r="O408" s="129">
        <f>O469+O478</f>
        <v>3391.3</v>
      </c>
      <c r="P408" s="364">
        <f>P469+P478</f>
        <v>3496.5</v>
      </c>
      <c r="Q408" s="365">
        <f>Q469+Q478</f>
        <v>3708.4</v>
      </c>
    </row>
    <row r="409" spans="1:17" s="1" customFormat="1" ht="12.75" hidden="1">
      <c r="A409" s="287" t="s">
        <v>235</v>
      </c>
      <c r="B409" s="73" t="s">
        <v>134</v>
      </c>
      <c r="C409" s="81" t="s">
        <v>171</v>
      </c>
      <c r="D409" s="81" t="s">
        <v>130</v>
      </c>
      <c r="E409" s="81" t="s">
        <v>132</v>
      </c>
      <c r="F409" s="77" t="s">
        <v>133</v>
      </c>
      <c r="G409" s="64">
        <f>G449</f>
        <v>0</v>
      </c>
      <c r="H409" s="37">
        <f>H449</f>
        <v>0</v>
      </c>
      <c r="I409" s="37">
        <f>I449</f>
        <v>0</v>
      </c>
      <c r="J409" s="64">
        <f>J449</f>
        <v>0</v>
      </c>
      <c r="K409" s="176">
        <f>K449</f>
        <v>0</v>
      </c>
      <c r="L409" s="187"/>
      <c r="M409" s="52"/>
      <c r="N409" s="71"/>
      <c r="O409" s="71"/>
      <c r="P409" s="370"/>
      <c r="Q409" s="371"/>
    </row>
    <row r="410" spans="1:17" s="1" customFormat="1" ht="11.25" customHeight="1" hidden="1">
      <c r="A410" s="270" t="s">
        <v>172</v>
      </c>
      <c r="B410" s="48" t="s">
        <v>134</v>
      </c>
      <c r="C410" s="49" t="s">
        <v>171</v>
      </c>
      <c r="D410" s="49" t="s">
        <v>130</v>
      </c>
      <c r="E410" s="49" t="s">
        <v>136</v>
      </c>
      <c r="F410" s="51" t="s">
        <v>133</v>
      </c>
      <c r="G410" s="71">
        <f aca="true" t="shared" si="78" ref="G410:I414">G384</f>
        <v>0</v>
      </c>
      <c r="H410" s="52">
        <f t="shared" si="78"/>
        <v>0</v>
      </c>
      <c r="I410" s="52">
        <f t="shared" si="78"/>
        <v>0</v>
      </c>
      <c r="J410" s="71">
        <f aca="true" t="shared" si="79" ref="J410:K414">J384</f>
        <v>0</v>
      </c>
      <c r="K410" s="173">
        <f t="shared" si="79"/>
        <v>0</v>
      </c>
      <c r="L410" s="187"/>
      <c r="M410" s="52"/>
      <c r="N410" s="71"/>
      <c r="O410" s="71"/>
      <c r="P410" s="370"/>
      <c r="Q410" s="371"/>
    </row>
    <row r="411" spans="1:17" s="1" customFormat="1" ht="12.75" hidden="1">
      <c r="A411" s="270" t="s">
        <v>151</v>
      </c>
      <c r="B411" s="48" t="s">
        <v>134</v>
      </c>
      <c r="C411" s="53" t="s">
        <v>171</v>
      </c>
      <c r="D411" s="53" t="s">
        <v>130</v>
      </c>
      <c r="E411" s="53" t="s">
        <v>152</v>
      </c>
      <c r="F411" s="55" t="s">
        <v>133</v>
      </c>
      <c r="G411" s="71">
        <f t="shared" si="78"/>
        <v>50</v>
      </c>
      <c r="H411" s="52">
        <f t="shared" si="78"/>
        <v>100</v>
      </c>
      <c r="I411" s="52">
        <f t="shared" si="78"/>
        <v>131</v>
      </c>
      <c r="J411" s="71">
        <f t="shared" si="79"/>
        <v>0</v>
      </c>
      <c r="K411" s="173">
        <f t="shared" si="79"/>
        <v>50</v>
      </c>
      <c r="L411" s="187"/>
      <c r="M411" s="52"/>
      <c r="N411" s="71"/>
      <c r="O411" s="71"/>
      <c r="P411" s="370"/>
      <c r="Q411" s="371"/>
    </row>
    <row r="412" spans="1:17" s="1" customFormat="1" ht="12.75" hidden="1">
      <c r="A412" s="270" t="s">
        <v>139</v>
      </c>
      <c r="B412" s="48" t="s">
        <v>134</v>
      </c>
      <c r="C412" s="53" t="s">
        <v>171</v>
      </c>
      <c r="D412" s="53" t="s">
        <v>130</v>
      </c>
      <c r="E412" s="53" t="s">
        <v>152</v>
      </c>
      <c r="F412" s="55" t="s">
        <v>140</v>
      </c>
      <c r="G412" s="71">
        <f t="shared" si="78"/>
        <v>50</v>
      </c>
      <c r="H412" s="52">
        <f t="shared" si="78"/>
        <v>100</v>
      </c>
      <c r="I412" s="52">
        <f t="shared" si="78"/>
        <v>131</v>
      </c>
      <c r="J412" s="71">
        <f t="shared" si="79"/>
        <v>0</v>
      </c>
      <c r="K412" s="173">
        <f t="shared" si="79"/>
        <v>50</v>
      </c>
      <c r="L412" s="187"/>
      <c r="M412" s="52"/>
      <c r="N412" s="71"/>
      <c r="O412" s="71"/>
      <c r="P412" s="370"/>
      <c r="Q412" s="371"/>
    </row>
    <row r="413" spans="1:17" s="1" customFormat="1" ht="12.75" hidden="1">
      <c r="A413" s="288" t="s">
        <v>141</v>
      </c>
      <c r="B413" s="48" t="s">
        <v>134</v>
      </c>
      <c r="C413" s="53" t="s">
        <v>171</v>
      </c>
      <c r="D413" s="53" t="s">
        <v>130</v>
      </c>
      <c r="E413" s="53" t="s">
        <v>152</v>
      </c>
      <c r="F413" s="55" t="s">
        <v>140</v>
      </c>
      <c r="G413" s="71">
        <f t="shared" si="78"/>
        <v>0</v>
      </c>
      <c r="H413" s="52">
        <f t="shared" si="78"/>
        <v>0</v>
      </c>
      <c r="I413" s="52">
        <f t="shared" si="78"/>
        <v>0</v>
      </c>
      <c r="J413" s="71">
        <f t="shared" si="79"/>
        <v>0</v>
      </c>
      <c r="K413" s="173">
        <f t="shared" si="79"/>
        <v>0</v>
      </c>
      <c r="L413" s="187"/>
      <c r="M413" s="52"/>
      <c r="N413" s="71"/>
      <c r="O413" s="71"/>
      <c r="P413" s="370"/>
      <c r="Q413" s="371"/>
    </row>
    <row r="414" spans="1:17" s="1" customFormat="1" ht="12.75" hidden="1">
      <c r="A414" s="288" t="s">
        <v>236</v>
      </c>
      <c r="B414" s="48" t="s">
        <v>134</v>
      </c>
      <c r="C414" s="53" t="s">
        <v>171</v>
      </c>
      <c r="D414" s="53" t="s">
        <v>130</v>
      </c>
      <c r="E414" s="53" t="s">
        <v>152</v>
      </c>
      <c r="F414" s="55" t="s">
        <v>140</v>
      </c>
      <c r="G414" s="71">
        <f t="shared" si="78"/>
        <v>0</v>
      </c>
      <c r="H414" s="52">
        <f t="shared" si="78"/>
        <v>0</v>
      </c>
      <c r="I414" s="52">
        <f t="shared" si="78"/>
        <v>0</v>
      </c>
      <c r="J414" s="71">
        <f t="shared" si="79"/>
        <v>0</v>
      </c>
      <c r="K414" s="173">
        <f t="shared" si="79"/>
        <v>0</v>
      </c>
      <c r="L414" s="187"/>
      <c r="M414" s="52"/>
      <c r="N414" s="71"/>
      <c r="O414" s="71"/>
      <c r="P414" s="370"/>
      <c r="Q414" s="371"/>
    </row>
    <row r="415" spans="1:17" s="1" customFormat="1" ht="12.75" hidden="1">
      <c r="A415" s="286" t="s">
        <v>143</v>
      </c>
      <c r="B415" s="48" t="s">
        <v>134</v>
      </c>
      <c r="C415" s="53" t="s">
        <v>171</v>
      </c>
      <c r="D415" s="53" t="s">
        <v>130</v>
      </c>
      <c r="E415" s="53" t="s">
        <v>152</v>
      </c>
      <c r="F415" s="55" t="s">
        <v>140</v>
      </c>
      <c r="G415" s="71"/>
      <c r="H415" s="52"/>
      <c r="I415" s="52"/>
      <c r="J415" s="71"/>
      <c r="K415" s="173"/>
      <c r="L415" s="187"/>
      <c r="M415" s="52"/>
      <c r="N415" s="71"/>
      <c r="O415" s="71"/>
      <c r="P415" s="370"/>
      <c r="Q415" s="371"/>
    </row>
    <row r="416" spans="1:17" s="1" customFormat="1" ht="12.75" hidden="1">
      <c r="A416" s="286" t="s">
        <v>144</v>
      </c>
      <c r="B416" s="48" t="s">
        <v>134</v>
      </c>
      <c r="C416" s="53" t="s">
        <v>171</v>
      </c>
      <c r="D416" s="53" t="s">
        <v>130</v>
      </c>
      <c r="E416" s="53" t="s">
        <v>152</v>
      </c>
      <c r="F416" s="55" t="s">
        <v>140</v>
      </c>
      <c r="G416" s="71"/>
      <c r="H416" s="52"/>
      <c r="I416" s="52"/>
      <c r="J416" s="71"/>
      <c r="K416" s="173"/>
      <c r="L416" s="187"/>
      <c r="M416" s="52"/>
      <c r="N416" s="71"/>
      <c r="O416" s="71"/>
      <c r="P416" s="370"/>
      <c r="Q416" s="371"/>
    </row>
    <row r="417" spans="1:17" s="1" customFormat="1" ht="12.75" hidden="1">
      <c r="A417" s="286" t="s">
        <v>237</v>
      </c>
      <c r="B417" s="48" t="s">
        <v>134</v>
      </c>
      <c r="C417" s="53" t="s">
        <v>171</v>
      </c>
      <c r="D417" s="53" t="s">
        <v>130</v>
      </c>
      <c r="E417" s="53" t="s">
        <v>152</v>
      </c>
      <c r="F417" s="55" t="s">
        <v>140</v>
      </c>
      <c r="G417" s="71"/>
      <c r="H417" s="52"/>
      <c r="I417" s="52"/>
      <c r="J417" s="71"/>
      <c r="K417" s="173"/>
      <c r="L417" s="187"/>
      <c r="M417" s="52"/>
      <c r="N417" s="71"/>
      <c r="O417" s="71"/>
      <c r="P417" s="370"/>
      <c r="Q417" s="371"/>
    </row>
    <row r="418" spans="1:17" s="1" customFormat="1" ht="12.75" hidden="1">
      <c r="A418" s="286" t="s">
        <v>234</v>
      </c>
      <c r="B418" s="48" t="s">
        <v>134</v>
      </c>
      <c r="C418" s="53" t="s">
        <v>171</v>
      </c>
      <c r="D418" s="53" t="s">
        <v>130</v>
      </c>
      <c r="E418" s="53" t="s">
        <v>152</v>
      </c>
      <c r="F418" s="55" t="s">
        <v>140</v>
      </c>
      <c r="G418" s="71">
        <f>SUM(G419:G424)</f>
        <v>0</v>
      </c>
      <c r="H418" s="52">
        <f>SUM(H419:H424)</f>
        <v>0</v>
      </c>
      <c r="I418" s="52">
        <f>SUM(I419:I424)</f>
        <v>0</v>
      </c>
      <c r="J418" s="71">
        <f>SUM(J419:J424)</f>
        <v>0</v>
      </c>
      <c r="K418" s="173">
        <f>SUM(K419:K424)</f>
        <v>0</v>
      </c>
      <c r="L418" s="187"/>
      <c r="M418" s="52"/>
      <c r="N418" s="71"/>
      <c r="O418" s="71"/>
      <c r="P418" s="370"/>
      <c r="Q418" s="371"/>
    </row>
    <row r="419" spans="1:17" s="1" customFormat="1" ht="12.75" hidden="1">
      <c r="A419" s="286" t="s">
        <v>238</v>
      </c>
      <c r="B419" s="48" t="s">
        <v>134</v>
      </c>
      <c r="C419" s="53" t="s">
        <v>171</v>
      </c>
      <c r="D419" s="53" t="s">
        <v>130</v>
      </c>
      <c r="E419" s="53" t="s">
        <v>152</v>
      </c>
      <c r="F419" s="55" t="s">
        <v>140</v>
      </c>
      <c r="G419" s="71"/>
      <c r="H419" s="52"/>
      <c r="I419" s="52"/>
      <c r="J419" s="71"/>
      <c r="K419" s="173"/>
      <c r="L419" s="187"/>
      <c r="M419" s="52"/>
      <c r="N419" s="71"/>
      <c r="O419" s="71"/>
      <c r="P419" s="370"/>
      <c r="Q419" s="371"/>
    </row>
    <row r="420" spans="1:17" s="1" customFormat="1" ht="12.75" hidden="1">
      <c r="A420" s="286" t="s">
        <v>239</v>
      </c>
      <c r="B420" s="48" t="s">
        <v>134</v>
      </c>
      <c r="C420" s="53" t="s">
        <v>171</v>
      </c>
      <c r="D420" s="53" t="s">
        <v>130</v>
      </c>
      <c r="E420" s="53" t="s">
        <v>152</v>
      </c>
      <c r="F420" s="55" t="s">
        <v>140</v>
      </c>
      <c r="G420" s="71"/>
      <c r="H420" s="52"/>
      <c r="I420" s="52"/>
      <c r="J420" s="71"/>
      <c r="K420" s="173"/>
      <c r="L420" s="187"/>
      <c r="M420" s="52"/>
      <c r="N420" s="71"/>
      <c r="O420" s="71"/>
      <c r="P420" s="370"/>
      <c r="Q420" s="371"/>
    </row>
    <row r="421" spans="1:17" s="1" customFormat="1" ht="12.75" hidden="1">
      <c r="A421" s="286" t="s">
        <v>173</v>
      </c>
      <c r="B421" s="48" t="s">
        <v>134</v>
      </c>
      <c r="C421" s="53" t="s">
        <v>171</v>
      </c>
      <c r="D421" s="53" t="s">
        <v>130</v>
      </c>
      <c r="E421" s="53" t="s">
        <v>152</v>
      </c>
      <c r="F421" s="55" t="s">
        <v>140</v>
      </c>
      <c r="G421" s="71"/>
      <c r="H421" s="52"/>
      <c r="I421" s="52"/>
      <c r="J421" s="71"/>
      <c r="K421" s="173"/>
      <c r="L421" s="187"/>
      <c r="M421" s="52"/>
      <c r="N421" s="71"/>
      <c r="O421" s="71"/>
      <c r="P421" s="370"/>
      <c r="Q421" s="371"/>
    </row>
    <row r="422" spans="1:17" s="1" customFormat="1" ht="12.75" hidden="1">
      <c r="A422" s="288" t="s">
        <v>240</v>
      </c>
      <c r="B422" s="48" t="s">
        <v>134</v>
      </c>
      <c r="C422" s="53" t="s">
        <v>171</v>
      </c>
      <c r="D422" s="53" t="s">
        <v>130</v>
      </c>
      <c r="E422" s="53" t="s">
        <v>152</v>
      </c>
      <c r="F422" s="55" t="s">
        <v>140</v>
      </c>
      <c r="G422" s="71"/>
      <c r="H422" s="52"/>
      <c r="I422" s="52"/>
      <c r="J422" s="71"/>
      <c r="K422" s="173"/>
      <c r="L422" s="187"/>
      <c r="M422" s="52"/>
      <c r="N422" s="71"/>
      <c r="O422" s="71"/>
      <c r="P422" s="370"/>
      <c r="Q422" s="371"/>
    </row>
    <row r="423" spans="1:17" s="1" customFormat="1" ht="12.75" hidden="1">
      <c r="A423" s="286" t="s">
        <v>241</v>
      </c>
      <c r="B423" s="48" t="s">
        <v>134</v>
      </c>
      <c r="C423" s="53" t="s">
        <v>171</v>
      </c>
      <c r="D423" s="53" t="s">
        <v>130</v>
      </c>
      <c r="E423" s="53" t="s">
        <v>152</v>
      </c>
      <c r="F423" s="55" t="s">
        <v>140</v>
      </c>
      <c r="G423" s="71"/>
      <c r="H423" s="52"/>
      <c r="I423" s="52"/>
      <c r="J423" s="71"/>
      <c r="K423" s="173"/>
      <c r="L423" s="187"/>
      <c r="M423" s="52"/>
      <c r="N423" s="71"/>
      <c r="O423" s="71"/>
      <c r="P423" s="370"/>
      <c r="Q423" s="371"/>
    </row>
    <row r="424" spans="1:17" s="1" customFormat="1" ht="12.75" hidden="1">
      <c r="A424" s="286" t="s">
        <v>206</v>
      </c>
      <c r="B424" s="48" t="s">
        <v>134</v>
      </c>
      <c r="C424" s="53" t="s">
        <v>171</v>
      </c>
      <c r="D424" s="53" t="s">
        <v>130</v>
      </c>
      <c r="E424" s="53" t="s">
        <v>152</v>
      </c>
      <c r="F424" s="55" t="s">
        <v>140</v>
      </c>
      <c r="G424" s="71"/>
      <c r="H424" s="52"/>
      <c r="I424" s="52"/>
      <c r="J424" s="71"/>
      <c r="K424" s="173"/>
      <c r="L424" s="187"/>
      <c r="M424" s="52"/>
      <c r="N424" s="71"/>
      <c r="O424" s="71"/>
      <c r="P424" s="370"/>
      <c r="Q424" s="371"/>
    </row>
    <row r="425" spans="1:17" s="1" customFormat="1" ht="12.75" hidden="1">
      <c r="A425" s="286" t="s">
        <v>158</v>
      </c>
      <c r="B425" s="48" t="s">
        <v>134</v>
      </c>
      <c r="C425" s="53" t="s">
        <v>171</v>
      </c>
      <c r="D425" s="53" t="s">
        <v>130</v>
      </c>
      <c r="E425" s="53" t="s">
        <v>152</v>
      </c>
      <c r="F425" s="55" t="s">
        <v>140</v>
      </c>
      <c r="G425" s="71"/>
      <c r="H425" s="52"/>
      <c r="I425" s="52"/>
      <c r="J425" s="71"/>
      <c r="K425" s="173"/>
      <c r="L425" s="187"/>
      <c r="M425" s="52"/>
      <c r="N425" s="71"/>
      <c r="O425" s="71"/>
      <c r="P425" s="370"/>
      <c r="Q425" s="371"/>
    </row>
    <row r="426" spans="1:17" s="1" customFormat="1" ht="12.75" hidden="1">
      <c r="A426" s="270" t="s">
        <v>159</v>
      </c>
      <c r="B426" s="48" t="s">
        <v>134</v>
      </c>
      <c r="C426" s="53" t="s">
        <v>171</v>
      </c>
      <c r="D426" s="53" t="s">
        <v>130</v>
      </c>
      <c r="E426" s="53" t="s">
        <v>152</v>
      </c>
      <c r="F426" s="55" t="s">
        <v>140</v>
      </c>
      <c r="G426" s="71">
        <f>SUM(G427:G428)</f>
        <v>0</v>
      </c>
      <c r="H426" s="52">
        <f>SUM(H427:H428)</f>
        <v>0</v>
      </c>
      <c r="I426" s="52">
        <f>SUM(I427:I428)</f>
        <v>0</v>
      </c>
      <c r="J426" s="71">
        <f>SUM(J427:J428)</f>
        <v>0</v>
      </c>
      <c r="K426" s="173">
        <f>SUM(K427:K428)</f>
        <v>0</v>
      </c>
      <c r="L426" s="187"/>
      <c r="M426" s="52"/>
      <c r="N426" s="71"/>
      <c r="O426" s="71"/>
      <c r="P426" s="370"/>
      <c r="Q426" s="371"/>
    </row>
    <row r="427" spans="1:17" s="1" customFormat="1" ht="12.75" hidden="1">
      <c r="A427" s="286" t="s">
        <v>160</v>
      </c>
      <c r="B427" s="48" t="s">
        <v>134</v>
      </c>
      <c r="C427" s="53" t="s">
        <v>171</v>
      </c>
      <c r="D427" s="53" t="s">
        <v>130</v>
      </c>
      <c r="E427" s="53" t="s">
        <v>152</v>
      </c>
      <c r="F427" s="55" t="s">
        <v>140</v>
      </c>
      <c r="G427" s="71"/>
      <c r="H427" s="52"/>
      <c r="I427" s="52"/>
      <c r="J427" s="71"/>
      <c r="K427" s="173"/>
      <c r="L427" s="187"/>
      <c r="M427" s="52"/>
      <c r="N427" s="71"/>
      <c r="O427" s="71"/>
      <c r="P427" s="370"/>
      <c r="Q427" s="371"/>
    </row>
    <row r="428" spans="1:17" s="1" customFormat="1" ht="12.75" hidden="1">
      <c r="A428" s="286" t="s">
        <v>161</v>
      </c>
      <c r="B428" s="48" t="s">
        <v>134</v>
      </c>
      <c r="C428" s="53" t="s">
        <v>171</v>
      </c>
      <c r="D428" s="53" t="s">
        <v>130</v>
      </c>
      <c r="E428" s="53" t="s">
        <v>152</v>
      </c>
      <c r="F428" s="55" t="s">
        <v>140</v>
      </c>
      <c r="G428" s="71"/>
      <c r="H428" s="52"/>
      <c r="I428" s="52"/>
      <c r="J428" s="71"/>
      <c r="K428" s="173"/>
      <c r="L428" s="187"/>
      <c r="M428" s="52"/>
      <c r="N428" s="71"/>
      <c r="O428" s="71"/>
      <c r="P428" s="370"/>
      <c r="Q428" s="371"/>
    </row>
    <row r="429" spans="1:17" s="1" customFormat="1" ht="11.25" customHeight="1" hidden="1">
      <c r="A429" s="270" t="s">
        <v>172</v>
      </c>
      <c r="B429" s="48" t="s">
        <v>134</v>
      </c>
      <c r="C429" s="49" t="s">
        <v>171</v>
      </c>
      <c r="D429" s="49" t="s">
        <v>130</v>
      </c>
      <c r="E429" s="53" t="s">
        <v>242</v>
      </c>
      <c r="F429" s="51" t="s">
        <v>133</v>
      </c>
      <c r="G429" s="71">
        <f aca="true" t="shared" si="80" ref="G429:K430">G430</f>
        <v>0</v>
      </c>
      <c r="H429" s="52">
        <f t="shared" si="80"/>
        <v>0</v>
      </c>
      <c r="I429" s="52">
        <f t="shared" si="80"/>
        <v>0</v>
      </c>
      <c r="J429" s="71">
        <f t="shared" si="80"/>
        <v>0</v>
      </c>
      <c r="K429" s="173">
        <f t="shared" si="80"/>
        <v>0</v>
      </c>
      <c r="L429" s="187"/>
      <c r="M429" s="52"/>
      <c r="N429" s="71"/>
      <c r="O429" s="71"/>
      <c r="P429" s="370"/>
      <c r="Q429" s="371"/>
    </row>
    <row r="430" spans="1:17" s="1" customFormat="1" ht="12.75" hidden="1">
      <c r="A430" s="270" t="s">
        <v>151</v>
      </c>
      <c r="B430" s="48" t="s">
        <v>134</v>
      </c>
      <c r="C430" s="53" t="s">
        <v>171</v>
      </c>
      <c r="D430" s="53" t="s">
        <v>130</v>
      </c>
      <c r="E430" s="53" t="s">
        <v>242</v>
      </c>
      <c r="F430" s="55" t="s">
        <v>133</v>
      </c>
      <c r="G430" s="71">
        <f t="shared" si="80"/>
        <v>0</v>
      </c>
      <c r="H430" s="52">
        <f t="shared" si="80"/>
        <v>0</v>
      </c>
      <c r="I430" s="52">
        <f t="shared" si="80"/>
        <v>0</v>
      </c>
      <c r="J430" s="71">
        <f t="shared" si="80"/>
        <v>0</v>
      </c>
      <c r="K430" s="173">
        <f t="shared" si="80"/>
        <v>0</v>
      </c>
      <c r="L430" s="187"/>
      <c r="M430" s="52"/>
      <c r="N430" s="71"/>
      <c r="O430" s="71"/>
      <c r="P430" s="370"/>
      <c r="Q430" s="371"/>
    </row>
    <row r="431" spans="1:17" s="1" customFormat="1" ht="12.75" hidden="1">
      <c r="A431" s="270" t="s">
        <v>139</v>
      </c>
      <c r="B431" s="48" t="s">
        <v>134</v>
      </c>
      <c r="C431" s="53" t="s">
        <v>171</v>
      </c>
      <c r="D431" s="53" t="s">
        <v>130</v>
      </c>
      <c r="E431" s="53" t="s">
        <v>242</v>
      </c>
      <c r="F431" s="55" t="s">
        <v>140</v>
      </c>
      <c r="G431" s="71">
        <f>G432+G446</f>
        <v>0</v>
      </c>
      <c r="H431" s="52">
        <f>H432+H446</f>
        <v>0</v>
      </c>
      <c r="I431" s="52">
        <f>I432+I446</f>
        <v>0</v>
      </c>
      <c r="J431" s="71">
        <f>J432+J446</f>
        <v>0</v>
      </c>
      <c r="K431" s="173">
        <f>K432+K446</f>
        <v>0</v>
      </c>
      <c r="L431" s="187"/>
      <c r="M431" s="52"/>
      <c r="N431" s="71"/>
      <c r="O431" s="71"/>
      <c r="P431" s="370"/>
      <c r="Q431" s="371"/>
    </row>
    <row r="432" spans="1:17" s="1" customFormat="1" ht="12.75" hidden="1">
      <c r="A432" s="288" t="s">
        <v>141</v>
      </c>
      <c r="B432" s="48" t="s">
        <v>134</v>
      </c>
      <c r="C432" s="53" t="s">
        <v>171</v>
      </c>
      <c r="D432" s="53" t="s">
        <v>130</v>
      </c>
      <c r="E432" s="53" t="s">
        <v>242</v>
      </c>
      <c r="F432" s="55" t="s">
        <v>140</v>
      </c>
      <c r="G432" s="71">
        <f>G433+G437</f>
        <v>0</v>
      </c>
      <c r="H432" s="52">
        <f>H433+H437</f>
        <v>0</v>
      </c>
      <c r="I432" s="52">
        <f>I433+I437</f>
        <v>0</v>
      </c>
      <c r="J432" s="71">
        <f>J433+J437</f>
        <v>0</v>
      </c>
      <c r="K432" s="173">
        <f>K433+K437</f>
        <v>0</v>
      </c>
      <c r="L432" s="187"/>
      <c r="M432" s="52"/>
      <c r="N432" s="71"/>
      <c r="O432" s="71"/>
      <c r="P432" s="370"/>
      <c r="Q432" s="371"/>
    </row>
    <row r="433" spans="1:17" s="1" customFormat="1" ht="12.75" hidden="1">
      <c r="A433" s="288" t="s">
        <v>236</v>
      </c>
      <c r="B433" s="48" t="s">
        <v>134</v>
      </c>
      <c r="C433" s="53" t="s">
        <v>171</v>
      </c>
      <c r="D433" s="53" t="s">
        <v>130</v>
      </c>
      <c r="E433" s="53" t="s">
        <v>242</v>
      </c>
      <c r="F433" s="55" t="s">
        <v>140</v>
      </c>
      <c r="G433" s="71">
        <f>SUM(G434:G436)</f>
        <v>0</v>
      </c>
      <c r="H433" s="52">
        <f>SUM(H434:H436)</f>
        <v>0</v>
      </c>
      <c r="I433" s="52">
        <f>SUM(I434:I436)</f>
        <v>0</v>
      </c>
      <c r="J433" s="71">
        <f>SUM(J434:J436)</f>
        <v>0</v>
      </c>
      <c r="K433" s="173">
        <f>SUM(K434:K436)</f>
        <v>0</v>
      </c>
      <c r="L433" s="187"/>
      <c r="M433" s="52"/>
      <c r="N433" s="71"/>
      <c r="O433" s="71"/>
      <c r="P433" s="370"/>
      <c r="Q433" s="371"/>
    </row>
    <row r="434" spans="1:17" s="1" customFormat="1" ht="12.75" hidden="1">
      <c r="A434" s="286" t="s">
        <v>143</v>
      </c>
      <c r="B434" s="48" t="s">
        <v>134</v>
      </c>
      <c r="C434" s="53" t="s">
        <v>171</v>
      </c>
      <c r="D434" s="53" t="s">
        <v>130</v>
      </c>
      <c r="E434" s="53" t="s">
        <v>242</v>
      </c>
      <c r="F434" s="55" t="s">
        <v>140</v>
      </c>
      <c r="G434" s="71"/>
      <c r="H434" s="52"/>
      <c r="I434" s="52"/>
      <c r="J434" s="71"/>
      <c r="K434" s="173"/>
      <c r="L434" s="187"/>
      <c r="M434" s="52"/>
      <c r="N434" s="71"/>
      <c r="O434" s="71"/>
      <c r="P434" s="370"/>
      <c r="Q434" s="371"/>
    </row>
    <row r="435" spans="1:17" s="1" customFormat="1" ht="12.75" hidden="1">
      <c r="A435" s="286" t="s">
        <v>144</v>
      </c>
      <c r="B435" s="48" t="s">
        <v>134</v>
      </c>
      <c r="C435" s="53" t="s">
        <v>171</v>
      </c>
      <c r="D435" s="53" t="s">
        <v>130</v>
      </c>
      <c r="E435" s="53" t="s">
        <v>242</v>
      </c>
      <c r="F435" s="55" t="s">
        <v>140</v>
      </c>
      <c r="G435" s="71"/>
      <c r="H435" s="52"/>
      <c r="I435" s="52"/>
      <c r="J435" s="71"/>
      <c r="K435" s="173"/>
      <c r="L435" s="187"/>
      <c r="M435" s="52"/>
      <c r="N435" s="71"/>
      <c r="O435" s="71"/>
      <c r="P435" s="370"/>
      <c r="Q435" s="371"/>
    </row>
    <row r="436" spans="1:17" s="1" customFormat="1" ht="12.75" hidden="1">
      <c r="A436" s="286" t="s">
        <v>237</v>
      </c>
      <c r="B436" s="48" t="s">
        <v>134</v>
      </c>
      <c r="C436" s="53" t="s">
        <v>171</v>
      </c>
      <c r="D436" s="53" t="s">
        <v>130</v>
      </c>
      <c r="E436" s="53" t="s">
        <v>242</v>
      </c>
      <c r="F436" s="55" t="s">
        <v>140</v>
      </c>
      <c r="G436" s="71"/>
      <c r="H436" s="52"/>
      <c r="I436" s="52"/>
      <c r="J436" s="71"/>
      <c r="K436" s="173"/>
      <c r="L436" s="187"/>
      <c r="M436" s="52"/>
      <c r="N436" s="71"/>
      <c r="O436" s="71"/>
      <c r="P436" s="370"/>
      <c r="Q436" s="371"/>
    </row>
    <row r="437" spans="1:17" s="1" customFormat="1" ht="11.25" customHeight="1" hidden="1">
      <c r="A437" s="286" t="s">
        <v>234</v>
      </c>
      <c r="B437" s="48" t="s">
        <v>134</v>
      </c>
      <c r="C437" s="53" t="s">
        <v>171</v>
      </c>
      <c r="D437" s="53" t="s">
        <v>130</v>
      </c>
      <c r="E437" s="53" t="s">
        <v>242</v>
      </c>
      <c r="F437" s="55" t="s">
        <v>140</v>
      </c>
      <c r="G437" s="71">
        <f>G438+G439+G440+G445</f>
        <v>0</v>
      </c>
      <c r="H437" s="52">
        <f>H438+H439+H440+H445</f>
        <v>0</v>
      </c>
      <c r="I437" s="52">
        <f>I438+I439+I440+I445</f>
        <v>0</v>
      </c>
      <c r="J437" s="71">
        <f>J438+J439+J440+J445</f>
        <v>0</v>
      </c>
      <c r="K437" s="173">
        <f>K438+K439+K440+K445</f>
        <v>0</v>
      </c>
      <c r="L437" s="187"/>
      <c r="M437" s="52"/>
      <c r="N437" s="71"/>
      <c r="O437" s="71"/>
      <c r="P437" s="370"/>
      <c r="Q437" s="371"/>
    </row>
    <row r="438" spans="1:17" s="1" customFormat="1" ht="11.25" customHeight="1" hidden="1">
      <c r="A438" s="286" t="s">
        <v>238</v>
      </c>
      <c r="B438" s="48" t="s">
        <v>134</v>
      </c>
      <c r="C438" s="53" t="s">
        <v>171</v>
      </c>
      <c r="D438" s="53" t="s">
        <v>130</v>
      </c>
      <c r="E438" s="53" t="s">
        <v>242</v>
      </c>
      <c r="F438" s="55" t="s">
        <v>140</v>
      </c>
      <c r="G438" s="71"/>
      <c r="H438" s="52"/>
      <c r="I438" s="52"/>
      <c r="J438" s="71"/>
      <c r="K438" s="173"/>
      <c r="L438" s="187"/>
      <c r="M438" s="52"/>
      <c r="N438" s="71"/>
      <c r="O438" s="71"/>
      <c r="P438" s="370"/>
      <c r="Q438" s="371"/>
    </row>
    <row r="439" spans="1:17" s="1" customFormat="1" ht="11.25" customHeight="1" hidden="1">
      <c r="A439" s="286" t="s">
        <v>239</v>
      </c>
      <c r="B439" s="48" t="s">
        <v>134</v>
      </c>
      <c r="C439" s="53" t="s">
        <v>171</v>
      </c>
      <c r="D439" s="53" t="s">
        <v>130</v>
      </c>
      <c r="E439" s="53" t="s">
        <v>242</v>
      </c>
      <c r="F439" s="55" t="s">
        <v>140</v>
      </c>
      <c r="G439" s="71"/>
      <c r="H439" s="52"/>
      <c r="I439" s="52"/>
      <c r="J439" s="71"/>
      <c r="K439" s="173"/>
      <c r="L439" s="187"/>
      <c r="M439" s="52"/>
      <c r="N439" s="71"/>
      <c r="O439" s="71"/>
      <c r="P439" s="370"/>
      <c r="Q439" s="371"/>
    </row>
    <row r="440" spans="1:17" s="1" customFormat="1" ht="11.25" customHeight="1" hidden="1">
      <c r="A440" s="286" t="s">
        <v>173</v>
      </c>
      <c r="B440" s="48" t="s">
        <v>134</v>
      </c>
      <c r="C440" s="53" t="s">
        <v>171</v>
      </c>
      <c r="D440" s="53" t="s">
        <v>130</v>
      </c>
      <c r="E440" s="53" t="s">
        <v>242</v>
      </c>
      <c r="F440" s="55" t="s">
        <v>140</v>
      </c>
      <c r="G440" s="71"/>
      <c r="H440" s="52"/>
      <c r="I440" s="52"/>
      <c r="J440" s="71"/>
      <c r="K440" s="173"/>
      <c r="L440" s="187"/>
      <c r="M440" s="52"/>
      <c r="N440" s="71"/>
      <c r="O440" s="71"/>
      <c r="P440" s="370"/>
      <c r="Q440" s="371"/>
    </row>
    <row r="441" spans="1:17" s="1" customFormat="1" ht="11.25" customHeight="1" hidden="1">
      <c r="A441" s="288" t="s">
        <v>240</v>
      </c>
      <c r="B441" s="48" t="s">
        <v>134</v>
      </c>
      <c r="C441" s="53" t="s">
        <v>171</v>
      </c>
      <c r="D441" s="53" t="s">
        <v>130</v>
      </c>
      <c r="E441" s="53" t="s">
        <v>242</v>
      </c>
      <c r="F441" s="55" t="s">
        <v>140</v>
      </c>
      <c r="G441" s="71"/>
      <c r="H441" s="52"/>
      <c r="I441" s="52"/>
      <c r="J441" s="71"/>
      <c r="K441" s="173"/>
      <c r="L441" s="187"/>
      <c r="M441" s="52"/>
      <c r="N441" s="71"/>
      <c r="O441" s="71"/>
      <c r="P441" s="370"/>
      <c r="Q441" s="371"/>
    </row>
    <row r="442" spans="1:17" s="1" customFormat="1" ht="11.25" customHeight="1" hidden="1">
      <c r="A442" s="286" t="s">
        <v>241</v>
      </c>
      <c r="B442" s="48" t="s">
        <v>134</v>
      </c>
      <c r="C442" s="53" t="s">
        <v>171</v>
      </c>
      <c r="D442" s="53" t="s">
        <v>130</v>
      </c>
      <c r="E442" s="53" t="s">
        <v>242</v>
      </c>
      <c r="F442" s="55" t="s">
        <v>140</v>
      </c>
      <c r="G442" s="71"/>
      <c r="H442" s="52"/>
      <c r="I442" s="52"/>
      <c r="J442" s="71"/>
      <c r="K442" s="173"/>
      <c r="L442" s="187"/>
      <c r="M442" s="52"/>
      <c r="N442" s="71"/>
      <c r="O442" s="71"/>
      <c r="P442" s="370"/>
      <c r="Q442" s="371"/>
    </row>
    <row r="443" spans="1:17" s="1" customFormat="1" ht="11.25" customHeight="1" hidden="1">
      <c r="A443" s="286" t="s">
        <v>206</v>
      </c>
      <c r="B443" s="48" t="s">
        <v>134</v>
      </c>
      <c r="C443" s="53" t="s">
        <v>171</v>
      </c>
      <c r="D443" s="53" t="s">
        <v>130</v>
      </c>
      <c r="E443" s="53" t="s">
        <v>242</v>
      </c>
      <c r="F443" s="55" t="s">
        <v>140</v>
      </c>
      <c r="G443" s="71"/>
      <c r="H443" s="52"/>
      <c r="I443" s="52"/>
      <c r="J443" s="71"/>
      <c r="K443" s="173"/>
      <c r="L443" s="187"/>
      <c r="M443" s="52"/>
      <c r="N443" s="71"/>
      <c r="O443" s="71"/>
      <c r="P443" s="370"/>
      <c r="Q443" s="371"/>
    </row>
    <row r="444" spans="1:17" s="1" customFormat="1" ht="11.25" customHeight="1" hidden="1">
      <c r="A444" s="286" t="s">
        <v>158</v>
      </c>
      <c r="B444" s="48" t="s">
        <v>134</v>
      </c>
      <c r="C444" s="53" t="s">
        <v>171</v>
      </c>
      <c r="D444" s="53" t="s">
        <v>130</v>
      </c>
      <c r="E444" s="53" t="s">
        <v>242</v>
      </c>
      <c r="F444" s="55" t="s">
        <v>140</v>
      </c>
      <c r="G444" s="71"/>
      <c r="H444" s="52"/>
      <c r="I444" s="52"/>
      <c r="J444" s="71"/>
      <c r="K444" s="173"/>
      <c r="L444" s="187"/>
      <c r="M444" s="52"/>
      <c r="N444" s="71"/>
      <c r="O444" s="71"/>
      <c r="P444" s="370"/>
      <c r="Q444" s="371"/>
    </row>
    <row r="445" spans="1:17" s="1" customFormat="1" ht="12.75" hidden="1">
      <c r="A445" s="286" t="s">
        <v>206</v>
      </c>
      <c r="B445" s="48" t="s">
        <v>134</v>
      </c>
      <c r="C445" s="53" t="s">
        <v>171</v>
      </c>
      <c r="D445" s="53" t="s">
        <v>130</v>
      </c>
      <c r="E445" s="53" t="s">
        <v>242</v>
      </c>
      <c r="F445" s="55" t="s">
        <v>140</v>
      </c>
      <c r="G445" s="71"/>
      <c r="H445" s="52"/>
      <c r="I445" s="52"/>
      <c r="J445" s="71"/>
      <c r="K445" s="173"/>
      <c r="L445" s="187"/>
      <c r="M445" s="52"/>
      <c r="N445" s="71"/>
      <c r="O445" s="71"/>
      <c r="P445" s="370"/>
      <c r="Q445" s="371"/>
    </row>
    <row r="446" spans="1:17" s="1" customFormat="1" ht="12.75" hidden="1">
      <c r="A446" s="270" t="s">
        <v>159</v>
      </c>
      <c r="B446" s="48" t="s">
        <v>134</v>
      </c>
      <c r="C446" s="53" t="s">
        <v>171</v>
      </c>
      <c r="D446" s="53" t="s">
        <v>130</v>
      </c>
      <c r="E446" s="53" t="s">
        <v>242</v>
      </c>
      <c r="F446" s="55" t="s">
        <v>140</v>
      </c>
      <c r="G446" s="71">
        <f>SUM(G447:G448)</f>
        <v>0</v>
      </c>
      <c r="H446" s="52">
        <f>SUM(H447:H448)</f>
        <v>0</v>
      </c>
      <c r="I446" s="52">
        <f>SUM(I447:I448)</f>
        <v>0</v>
      </c>
      <c r="J446" s="71">
        <f>SUM(J447:J448)</f>
        <v>0</v>
      </c>
      <c r="K446" s="173">
        <f>SUM(K447:K448)</f>
        <v>0</v>
      </c>
      <c r="L446" s="187"/>
      <c r="M446" s="52"/>
      <c r="N446" s="71"/>
      <c r="O446" s="71"/>
      <c r="P446" s="370"/>
      <c r="Q446" s="371"/>
    </row>
    <row r="447" spans="1:17" s="1" customFormat="1" ht="12.75" hidden="1">
      <c r="A447" s="286" t="s">
        <v>160</v>
      </c>
      <c r="B447" s="48" t="s">
        <v>134</v>
      </c>
      <c r="C447" s="53" t="s">
        <v>171</v>
      </c>
      <c r="D447" s="53" t="s">
        <v>130</v>
      </c>
      <c r="E447" s="53" t="s">
        <v>242</v>
      </c>
      <c r="F447" s="55" t="s">
        <v>140</v>
      </c>
      <c r="G447" s="71"/>
      <c r="H447" s="52"/>
      <c r="I447" s="52"/>
      <c r="J447" s="71"/>
      <c r="K447" s="173"/>
      <c r="L447" s="187"/>
      <c r="M447" s="52"/>
      <c r="N447" s="71"/>
      <c r="O447" s="71"/>
      <c r="P447" s="370"/>
      <c r="Q447" s="371"/>
    </row>
    <row r="448" spans="1:17" s="1" customFormat="1" ht="12.75" hidden="1">
      <c r="A448" s="286" t="s">
        <v>161</v>
      </c>
      <c r="B448" s="48" t="s">
        <v>134</v>
      </c>
      <c r="C448" s="53" t="s">
        <v>171</v>
      </c>
      <c r="D448" s="53" t="s">
        <v>130</v>
      </c>
      <c r="E448" s="53" t="s">
        <v>242</v>
      </c>
      <c r="F448" s="55" t="s">
        <v>140</v>
      </c>
      <c r="G448" s="71"/>
      <c r="H448" s="52"/>
      <c r="I448" s="52"/>
      <c r="J448" s="71"/>
      <c r="K448" s="173"/>
      <c r="L448" s="187"/>
      <c r="M448" s="52"/>
      <c r="N448" s="71"/>
      <c r="O448" s="71"/>
      <c r="P448" s="370"/>
      <c r="Q448" s="371"/>
    </row>
    <row r="449" spans="1:17" s="1" customFormat="1" ht="25.5" hidden="1">
      <c r="A449" s="286" t="s">
        <v>243</v>
      </c>
      <c r="B449" s="48" t="s">
        <v>134</v>
      </c>
      <c r="C449" s="49" t="s">
        <v>171</v>
      </c>
      <c r="D449" s="49" t="s">
        <v>130</v>
      </c>
      <c r="E449" s="53" t="s">
        <v>244</v>
      </c>
      <c r="F449" s="51" t="s">
        <v>133</v>
      </c>
      <c r="G449" s="71">
        <f aca="true" t="shared" si="81" ref="G449:K450">G450</f>
        <v>0</v>
      </c>
      <c r="H449" s="52">
        <f t="shared" si="81"/>
        <v>0</v>
      </c>
      <c r="I449" s="52">
        <f t="shared" si="81"/>
        <v>0</v>
      </c>
      <c r="J449" s="71">
        <f t="shared" si="81"/>
        <v>0</v>
      </c>
      <c r="K449" s="173">
        <f t="shared" si="81"/>
        <v>0</v>
      </c>
      <c r="L449" s="187"/>
      <c r="M449" s="52"/>
      <c r="N449" s="71"/>
      <c r="O449" s="71"/>
      <c r="P449" s="370"/>
      <c r="Q449" s="371"/>
    </row>
    <row r="450" spans="1:17" s="1" customFormat="1" ht="11.25" customHeight="1" hidden="1">
      <c r="A450" s="270" t="s">
        <v>151</v>
      </c>
      <c r="B450" s="48" t="s">
        <v>134</v>
      </c>
      <c r="C450" s="53" t="s">
        <v>171</v>
      </c>
      <c r="D450" s="53" t="s">
        <v>130</v>
      </c>
      <c r="E450" s="53" t="s">
        <v>244</v>
      </c>
      <c r="F450" s="55" t="s">
        <v>133</v>
      </c>
      <c r="G450" s="71">
        <f t="shared" si="81"/>
        <v>0</v>
      </c>
      <c r="H450" s="52">
        <f t="shared" si="81"/>
        <v>0</v>
      </c>
      <c r="I450" s="52">
        <f t="shared" si="81"/>
        <v>0</v>
      </c>
      <c r="J450" s="71">
        <f t="shared" si="81"/>
        <v>0</v>
      </c>
      <c r="K450" s="173">
        <f t="shared" si="81"/>
        <v>0</v>
      </c>
      <c r="L450" s="187"/>
      <c r="M450" s="52"/>
      <c r="N450" s="71"/>
      <c r="O450" s="71"/>
      <c r="P450" s="370"/>
      <c r="Q450" s="371"/>
    </row>
    <row r="451" spans="1:17" s="1" customFormat="1" ht="12.75" hidden="1">
      <c r="A451" s="270" t="s">
        <v>139</v>
      </c>
      <c r="B451" s="48" t="s">
        <v>134</v>
      </c>
      <c r="C451" s="53" t="s">
        <v>171</v>
      </c>
      <c r="D451" s="53" t="s">
        <v>130</v>
      </c>
      <c r="E451" s="53" t="s">
        <v>244</v>
      </c>
      <c r="F451" s="55" t="s">
        <v>140</v>
      </c>
      <c r="G451" s="71">
        <f>G452+G466</f>
        <v>0</v>
      </c>
      <c r="H451" s="52">
        <f>H452+H466</f>
        <v>0</v>
      </c>
      <c r="I451" s="52">
        <f>I452+I466</f>
        <v>0</v>
      </c>
      <c r="J451" s="71">
        <f>J452+J466</f>
        <v>0</v>
      </c>
      <c r="K451" s="173">
        <f>K452+K466</f>
        <v>0</v>
      </c>
      <c r="L451" s="187"/>
      <c r="M451" s="52"/>
      <c r="N451" s="71"/>
      <c r="O451" s="71"/>
      <c r="P451" s="370"/>
      <c r="Q451" s="371"/>
    </row>
    <row r="452" spans="1:17" s="1" customFormat="1" ht="12.75" hidden="1">
      <c r="A452" s="288" t="s">
        <v>141</v>
      </c>
      <c r="B452" s="48" t="s">
        <v>134</v>
      </c>
      <c r="C452" s="53" t="s">
        <v>171</v>
      </c>
      <c r="D452" s="53" t="s">
        <v>130</v>
      </c>
      <c r="E452" s="53" t="s">
        <v>244</v>
      </c>
      <c r="F452" s="55" t="s">
        <v>140</v>
      </c>
      <c r="G452" s="71">
        <f>G453+G457+G465</f>
        <v>0</v>
      </c>
      <c r="H452" s="52">
        <f>H453+H457+H465</f>
        <v>0</v>
      </c>
      <c r="I452" s="52">
        <f>I453+I457+I465</f>
        <v>0</v>
      </c>
      <c r="J452" s="71">
        <f>J453+J457+J465</f>
        <v>0</v>
      </c>
      <c r="K452" s="173">
        <f>K453+K457+K465</f>
        <v>0</v>
      </c>
      <c r="L452" s="187"/>
      <c r="M452" s="52"/>
      <c r="N452" s="71"/>
      <c r="O452" s="71"/>
      <c r="P452" s="370"/>
      <c r="Q452" s="371"/>
    </row>
    <row r="453" spans="1:17" s="1" customFormat="1" ht="12.75" hidden="1">
      <c r="A453" s="288" t="s">
        <v>236</v>
      </c>
      <c r="B453" s="48" t="s">
        <v>134</v>
      </c>
      <c r="C453" s="53" t="s">
        <v>171</v>
      </c>
      <c r="D453" s="53" t="s">
        <v>130</v>
      </c>
      <c r="E453" s="53" t="s">
        <v>244</v>
      </c>
      <c r="F453" s="55" t="s">
        <v>140</v>
      </c>
      <c r="G453" s="71">
        <f>SUM(G454:G456)</f>
        <v>0</v>
      </c>
      <c r="H453" s="52">
        <f>SUM(H454:H456)</f>
        <v>0</v>
      </c>
      <c r="I453" s="52">
        <f>SUM(I454:I456)</f>
        <v>0</v>
      </c>
      <c r="J453" s="71">
        <f>SUM(J454:J456)</f>
        <v>0</v>
      </c>
      <c r="K453" s="173">
        <f>SUM(K454:K456)</f>
        <v>0</v>
      </c>
      <c r="L453" s="187"/>
      <c r="M453" s="52"/>
      <c r="N453" s="71"/>
      <c r="O453" s="71"/>
      <c r="P453" s="370"/>
      <c r="Q453" s="371"/>
    </row>
    <row r="454" spans="1:17" s="1" customFormat="1" ht="12.75" hidden="1">
      <c r="A454" s="286" t="s">
        <v>143</v>
      </c>
      <c r="B454" s="48" t="s">
        <v>134</v>
      </c>
      <c r="C454" s="53" t="s">
        <v>171</v>
      </c>
      <c r="D454" s="53" t="s">
        <v>130</v>
      </c>
      <c r="E454" s="53" t="s">
        <v>244</v>
      </c>
      <c r="F454" s="55" t="s">
        <v>140</v>
      </c>
      <c r="G454" s="71">
        <v>0</v>
      </c>
      <c r="H454" s="52">
        <v>0</v>
      </c>
      <c r="I454" s="52">
        <v>0</v>
      </c>
      <c r="J454" s="71">
        <v>0</v>
      </c>
      <c r="K454" s="173">
        <v>0</v>
      </c>
      <c r="L454" s="187"/>
      <c r="M454" s="52"/>
      <c r="N454" s="71"/>
      <c r="O454" s="71"/>
      <c r="P454" s="370"/>
      <c r="Q454" s="371"/>
    </row>
    <row r="455" spans="1:17" s="1" customFormat="1" ht="12.75" hidden="1">
      <c r="A455" s="286" t="s">
        <v>144</v>
      </c>
      <c r="B455" s="48" t="s">
        <v>134</v>
      </c>
      <c r="C455" s="53" t="s">
        <v>171</v>
      </c>
      <c r="D455" s="53" t="s">
        <v>130</v>
      </c>
      <c r="E455" s="53" t="s">
        <v>244</v>
      </c>
      <c r="F455" s="55" t="s">
        <v>140</v>
      </c>
      <c r="G455" s="71"/>
      <c r="H455" s="52"/>
      <c r="I455" s="52"/>
      <c r="J455" s="71"/>
      <c r="K455" s="173"/>
      <c r="L455" s="187"/>
      <c r="M455" s="52"/>
      <c r="N455" s="71"/>
      <c r="O455" s="71"/>
      <c r="P455" s="370"/>
      <c r="Q455" s="371"/>
    </row>
    <row r="456" spans="1:17" s="1" customFormat="1" ht="12.75" hidden="1">
      <c r="A456" s="286" t="s">
        <v>237</v>
      </c>
      <c r="B456" s="48" t="s">
        <v>134</v>
      </c>
      <c r="C456" s="53" t="s">
        <v>171</v>
      </c>
      <c r="D456" s="53" t="s">
        <v>130</v>
      </c>
      <c r="E456" s="53" t="s">
        <v>244</v>
      </c>
      <c r="F456" s="55" t="s">
        <v>140</v>
      </c>
      <c r="G456" s="71">
        <v>0</v>
      </c>
      <c r="H456" s="52">
        <v>0</v>
      </c>
      <c r="I456" s="52">
        <v>0</v>
      </c>
      <c r="J456" s="71">
        <v>0</v>
      </c>
      <c r="K456" s="173">
        <v>0</v>
      </c>
      <c r="L456" s="187"/>
      <c r="M456" s="52"/>
      <c r="N456" s="71"/>
      <c r="O456" s="71"/>
      <c r="P456" s="370"/>
      <c r="Q456" s="371"/>
    </row>
    <row r="457" spans="1:17" s="1" customFormat="1" ht="11.25" customHeight="1" hidden="1">
      <c r="A457" s="286" t="s">
        <v>234</v>
      </c>
      <c r="B457" s="48" t="s">
        <v>134</v>
      </c>
      <c r="C457" s="53" t="s">
        <v>171</v>
      </c>
      <c r="D457" s="53" t="s">
        <v>130</v>
      </c>
      <c r="E457" s="53" t="s">
        <v>244</v>
      </c>
      <c r="F457" s="55" t="s">
        <v>140</v>
      </c>
      <c r="G457" s="71">
        <f>SUM(G458:G464)</f>
        <v>0</v>
      </c>
      <c r="H457" s="52">
        <f>SUM(H458:H464)</f>
        <v>0</v>
      </c>
      <c r="I457" s="52">
        <f>SUM(I458:I464)</f>
        <v>0</v>
      </c>
      <c r="J457" s="71">
        <f>SUM(J458:J464)</f>
        <v>0</v>
      </c>
      <c r="K457" s="173">
        <f>SUM(K458:K464)</f>
        <v>0</v>
      </c>
      <c r="L457" s="187"/>
      <c r="M457" s="52"/>
      <c r="N457" s="71"/>
      <c r="O457" s="71"/>
      <c r="P457" s="370"/>
      <c r="Q457" s="371"/>
    </row>
    <row r="458" spans="1:17" s="1" customFormat="1" ht="12.75" hidden="1">
      <c r="A458" s="286" t="s">
        <v>238</v>
      </c>
      <c r="B458" s="48" t="s">
        <v>134</v>
      </c>
      <c r="C458" s="53" t="s">
        <v>171</v>
      </c>
      <c r="D458" s="53" t="s">
        <v>130</v>
      </c>
      <c r="E458" s="53" t="s">
        <v>244</v>
      </c>
      <c r="F458" s="55" t="s">
        <v>140</v>
      </c>
      <c r="G458" s="71"/>
      <c r="H458" s="52"/>
      <c r="I458" s="52"/>
      <c r="J458" s="71"/>
      <c r="K458" s="173"/>
      <c r="L458" s="187"/>
      <c r="M458" s="52"/>
      <c r="N458" s="71"/>
      <c r="O458" s="71"/>
      <c r="P458" s="370"/>
      <c r="Q458" s="371"/>
    </row>
    <row r="459" spans="1:17" s="1" customFormat="1" ht="12.75" hidden="1">
      <c r="A459" s="286" t="s">
        <v>239</v>
      </c>
      <c r="B459" s="48" t="s">
        <v>134</v>
      </c>
      <c r="C459" s="53" t="s">
        <v>171</v>
      </c>
      <c r="D459" s="53" t="s">
        <v>130</v>
      </c>
      <c r="E459" s="53" t="s">
        <v>244</v>
      </c>
      <c r="F459" s="55" t="s">
        <v>140</v>
      </c>
      <c r="G459" s="71"/>
      <c r="H459" s="52"/>
      <c r="I459" s="52"/>
      <c r="J459" s="71"/>
      <c r="K459" s="173"/>
      <c r="L459" s="187"/>
      <c r="M459" s="52"/>
      <c r="N459" s="71"/>
      <c r="O459" s="71"/>
      <c r="P459" s="370"/>
      <c r="Q459" s="371"/>
    </row>
    <row r="460" spans="1:17" s="1" customFormat="1" ht="12.75" hidden="1">
      <c r="A460" s="286" t="s">
        <v>173</v>
      </c>
      <c r="B460" s="48" t="s">
        <v>134</v>
      </c>
      <c r="C460" s="53" t="s">
        <v>171</v>
      </c>
      <c r="D460" s="53" t="s">
        <v>130</v>
      </c>
      <c r="E460" s="53" t="s">
        <v>244</v>
      </c>
      <c r="F460" s="55" t="s">
        <v>140</v>
      </c>
      <c r="G460" s="71"/>
      <c r="H460" s="52"/>
      <c r="I460" s="52"/>
      <c r="J460" s="71"/>
      <c r="K460" s="173"/>
      <c r="L460" s="187"/>
      <c r="M460" s="52"/>
      <c r="N460" s="71"/>
      <c r="O460" s="71"/>
      <c r="P460" s="370"/>
      <c r="Q460" s="371"/>
    </row>
    <row r="461" spans="1:17" s="1" customFormat="1" ht="12.75" hidden="1">
      <c r="A461" s="288" t="s">
        <v>240</v>
      </c>
      <c r="B461" s="48" t="s">
        <v>134</v>
      </c>
      <c r="C461" s="53" t="s">
        <v>171</v>
      </c>
      <c r="D461" s="53" t="s">
        <v>130</v>
      </c>
      <c r="E461" s="53" t="s">
        <v>244</v>
      </c>
      <c r="F461" s="55" t="s">
        <v>140</v>
      </c>
      <c r="G461" s="71"/>
      <c r="H461" s="52"/>
      <c r="I461" s="52"/>
      <c r="J461" s="71"/>
      <c r="K461" s="173"/>
      <c r="L461" s="187"/>
      <c r="M461" s="52"/>
      <c r="N461" s="71"/>
      <c r="O461" s="71"/>
      <c r="P461" s="370"/>
      <c r="Q461" s="371"/>
    </row>
    <row r="462" spans="1:17" s="1" customFormat="1" ht="12.75" hidden="1">
      <c r="A462" s="286" t="s">
        <v>241</v>
      </c>
      <c r="B462" s="48" t="s">
        <v>134</v>
      </c>
      <c r="C462" s="53" t="s">
        <v>171</v>
      </c>
      <c r="D462" s="53" t="s">
        <v>130</v>
      </c>
      <c r="E462" s="53" t="s">
        <v>244</v>
      </c>
      <c r="F462" s="55" t="s">
        <v>140</v>
      </c>
      <c r="G462" s="71"/>
      <c r="H462" s="52"/>
      <c r="I462" s="52"/>
      <c r="J462" s="71"/>
      <c r="K462" s="173"/>
      <c r="L462" s="187"/>
      <c r="M462" s="52"/>
      <c r="N462" s="71"/>
      <c r="O462" s="71"/>
      <c r="P462" s="370"/>
      <c r="Q462" s="371"/>
    </row>
    <row r="463" spans="1:17" s="1" customFormat="1" ht="12.75" hidden="1">
      <c r="A463" s="286" t="s">
        <v>238</v>
      </c>
      <c r="B463" s="48" t="s">
        <v>134</v>
      </c>
      <c r="C463" s="53" t="s">
        <v>171</v>
      </c>
      <c r="D463" s="53" t="s">
        <v>130</v>
      </c>
      <c r="E463" s="53" t="s">
        <v>244</v>
      </c>
      <c r="F463" s="55" t="s">
        <v>140</v>
      </c>
      <c r="G463" s="71">
        <v>0</v>
      </c>
      <c r="H463" s="52">
        <v>0</v>
      </c>
      <c r="I463" s="52">
        <v>0</v>
      </c>
      <c r="J463" s="71">
        <v>0</v>
      </c>
      <c r="K463" s="173">
        <v>0</v>
      </c>
      <c r="L463" s="187"/>
      <c r="M463" s="52"/>
      <c r="N463" s="71"/>
      <c r="O463" s="71"/>
      <c r="P463" s="370"/>
      <c r="Q463" s="371"/>
    </row>
    <row r="464" spans="1:17" s="1" customFormat="1" ht="11.25" customHeight="1" hidden="1">
      <c r="A464" s="286" t="s">
        <v>206</v>
      </c>
      <c r="B464" s="48" t="s">
        <v>134</v>
      </c>
      <c r="C464" s="53" t="s">
        <v>171</v>
      </c>
      <c r="D464" s="53" t="s">
        <v>130</v>
      </c>
      <c r="E464" s="53" t="s">
        <v>244</v>
      </c>
      <c r="F464" s="55" t="s">
        <v>140</v>
      </c>
      <c r="G464" s="71"/>
      <c r="H464" s="52"/>
      <c r="I464" s="52"/>
      <c r="J464" s="71"/>
      <c r="K464" s="173"/>
      <c r="L464" s="187"/>
      <c r="M464" s="52"/>
      <c r="N464" s="71"/>
      <c r="O464" s="71"/>
      <c r="P464" s="370"/>
      <c r="Q464" s="371"/>
    </row>
    <row r="465" spans="1:17" s="1" customFormat="1" ht="11.25" customHeight="1" hidden="1">
      <c r="A465" s="286" t="s">
        <v>158</v>
      </c>
      <c r="B465" s="48" t="s">
        <v>134</v>
      </c>
      <c r="C465" s="53" t="s">
        <v>171</v>
      </c>
      <c r="D465" s="53" t="s">
        <v>130</v>
      </c>
      <c r="E465" s="53" t="s">
        <v>244</v>
      </c>
      <c r="F465" s="55" t="s">
        <v>140</v>
      </c>
      <c r="G465" s="71"/>
      <c r="H465" s="52"/>
      <c r="I465" s="52"/>
      <c r="J465" s="71"/>
      <c r="K465" s="173"/>
      <c r="L465" s="187"/>
      <c r="M465" s="52"/>
      <c r="N465" s="71"/>
      <c r="O465" s="71"/>
      <c r="P465" s="370"/>
      <c r="Q465" s="371"/>
    </row>
    <row r="466" spans="1:17" s="1" customFormat="1" ht="12.75" hidden="1">
      <c r="A466" s="270" t="s">
        <v>159</v>
      </c>
      <c r="B466" s="48" t="s">
        <v>134</v>
      </c>
      <c r="C466" s="53" t="s">
        <v>171</v>
      </c>
      <c r="D466" s="53" t="s">
        <v>130</v>
      </c>
      <c r="E466" s="53" t="s">
        <v>244</v>
      </c>
      <c r="F466" s="55" t="s">
        <v>140</v>
      </c>
      <c r="G466" s="71">
        <f>SUM(G467:G468)</f>
        <v>0</v>
      </c>
      <c r="H466" s="52">
        <f>SUM(H467:H468)</f>
        <v>0</v>
      </c>
      <c r="I466" s="52">
        <f>SUM(I467:I468)</f>
        <v>0</v>
      </c>
      <c r="J466" s="71">
        <f>SUM(J467:J468)</f>
        <v>0</v>
      </c>
      <c r="K466" s="173">
        <f>SUM(K467:K468)</f>
        <v>0</v>
      </c>
      <c r="L466" s="187"/>
      <c r="M466" s="52"/>
      <c r="N466" s="71"/>
      <c r="O466" s="71"/>
      <c r="P466" s="370"/>
      <c r="Q466" s="371"/>
    </row>
    <row r="467" spans="1:17" s="1" customFormat="1" ht="12.75" hidden="1">
      <c r="A467" s="286" t="s">
        <v>160</v>
      </c>
      <c r="B467" s="48" t="s">
        <v>134</v>
      </c>
      <c r="C467" s="53" t="s">
        <v>171</v>
      </c>
      <c r="D467" s="53" t="s">
        <v>130</v>
      </c>
      <c r="E467" s="53" t="s">
        <v>244</v>
      </c>
      <c r="F467" s="55" t="s">
        <v>140</v>
      </c>
      <c r="G467" s="71"/>
      <c r="H467" s="52"/>
      <c r="I467" s="52"/>
      <c r="J467" s="71"/>
      <c r="K467" s="173"/>
      <c r="L467" s="187"/>
      <c r="M467" s="52"/>
      <c r="N467" s="71"/>
      <c r="O467" s="71"/>
      <c r="P467" s="370"/>
      <c r="Q467" s="371"/>
    </row>
    <row r="468" spans="1:17" s="1" customFormat="1" ht="12.75" hidden="1">
      <c r="A468" s="289" t="s">
        <v>161</v>
      </c>
      <c r="B468" s="66" t="s">
        <v>134</v>
      </c>
      <c r="C468" s="67" t="s">
        <v>171</v>
      </c>
      <c r="D468" s="67" t="s">
        <v>130</v>
      </c>
      <c r="E468" s="67" t="s">
        <v>244</v>
      </c>
      <c r="F468" s="69" t="s">
        <v>140</v>
      </c>
      <c r="G468" s="134">
        <v>0</v>
      </c>
      <c r="H468" s="89">
        <v>0</v>
      </c>
      <c r="I468" s="89">
        <v>0</v>
      </c>
      <c r="J468" s="134">
        <v>0</v>
      </c>
      <c r="K468" s="161">
        <v>0</v>
      </c>
      <c r="L468" s="187"/>
      <c r="M468" s="52"/>
      <c r="N468" s="71"/>
      <c r="O468" s="71"/>
      <c r="P468" s="370"/>
      <c r="Q468" s="371"/>
    </row>
    <row r="469" spans="1:17" s="1" customFormat="1" ht="16.5" customHeight="1">
      <c r="A469" s="290" t="s">
        <v>411</v>
      </c>
      <c r="B469" s="26" t="s">
        <v>134</v>
      </c>
      <c r="C469" s="27" t="s">
        <v>171</v>
      </c>
      <c r="D469" s="27" t="s">
        <v>341</v>
      </c>
      <c r="E469" s="27"/>
      <c r="F469" s="28"/>
      <c r="G469" s="155"/>
      <c r="H469" s="155"/>
      <c r="I469" s="155"/>
      <c r="J469" s="155"/>
      <c r="K469" s="167"/>
      <c r="L469" s="167"/>
      <c r="M469" s="167"/>
      <c r="N469" s="167"/>
      <c r="O469" s="155">
        <f aca="true" t="shared" si="82" ref="O469:Q471">O470</f>
        <v>234.4</v>
      </c>
      <c r="P469" s="396">
        <f t="shared" si="82"/>
        <v>274.4</v>
      </c>
      <c r="Q469" s="397">
        <f t="shared" si="82"/>
        <v>315.8</v>
      </c>
    </row>
    <row r="470" spans="1:17" s="1" customFormat="1" ht="16.5" customHeight="1">
      <c r="A470" s="286" t="s">
        <v>411</v>
      </c>
      <c r="B470" s="48" t="s">
        <v>134</v>
      </c>
      <c r="C470" s="49" t="s">
        <v>171</v>
      </c>
      <c r="D470" s="49" t="s">
        <v>341</v>
      </c>
      <c r="E470" s="49" t="s">
        <v>413</v>
      </c>
      <c r="F470" s="51"/>
      <c r="G470" s="248"/>
      <c r="H470" s="159"/>
      <c r="I470" s="159"/>
      <c r="J470" s="159"/>
      <c r="K470" s="159"/>
      <c r="L470" s="159"/>
      <c r="M470" s="159"/>
      <c r="N470" s="159"/>
      <c r="O470" s="201">
        <f t="shared" si="82"/>
        <v>234.4</v>
      </c>
      <c r="P470" s="370">
        <f t="shared" si="82"/>
        <v>274.4</v>
      </c>
      <c r="Q470" s="371">
        <f t="shared" si="82"/>
        <v>315.8</v>
      </c>
    </row>
    <row r="471" spans="1:17" s="1" customFormat="1" ht="16.5" customHeight="1">
      <c r="A471" s="286" t="s">
        <v>412</v>
      </c>
      <c r="B471" s="48" t="s">
        <v>134</v>
      </c>
      <c r="C471" s="49" t="s">
        <v>171</v>
      </c>
      <c r="D471" s="49" t="s">
        <v>341</v>
      </c>
      <c r="E471" s="49" t="s">
        <v>414</v>
      </c>
      <c r="F471" s="51"/>
      <c r="G471" s="248"/>
      <c r="H471" s="159"/>
      <c r="I471" s="159"/>
      <c r="J471" s="159"/>
      <c r="K471" s="159"/>
      <c r="L471" s="159"/>
      <c r="M471" s="159"/>
      <c r="N471" s="159"/>
      <c r="O471" s="201">
        <f t="shared" si="82"/>
        <v>234.4</v>
      </c>
      <c r="P471" s="370">
        <f t="shared" si="82"/>
        <v>274.4</v>
      </c>
      <c r="Q471" s="371">
        <f t="shared" si="82"/>
        <v>315.8</v>
      </c>
    </row>
    <row r="472" spans="1:17" s="1" customFormat="1" ht="16.5" customHeight="1" thickBot="1">
      <c r="A472" s="277" t="s">
        <v>80</v>
      </c>
      <c r="B472" s="99" t="s">
        <v>134</v>
      </c>
      <c r="C472" s="53" t="s">
        <v>171</v>
      </c>
      <c r="D472" s="53" t="s">
        <v>341</v>
      </c>
      <c r="E472" s="53" t="s">
        <v>414</v>
      </c>
      <c r="F472" s="55" t="s">
        <v>77</v>
      </c>
      <c r="G472" s="248"/>
      <c r="H472" s="159"/>
      <c r="I472" s="159"/>
      <c r="J472" s="159"/>
      <c r="K472" s="159"/>
      <c r="L472" s="159"/>
      <c r="M472" s="159"/>
      <c r="N472" s="104"/>
      <c r="O472" s="202">
        <v>234.4</v>
      </c>
      <c r="P472" s="374">
        <v>274.4</v>
      </c>
      <c r="Q472" s="375">
        <v>315.8</v>
      </c>
    </row>
    <row r="473" spans="1:17" s="1" customFormat="1" ht="12.75" hidden="1">
      <c r="A473" s="286"/>
      <c r="B473" s="48"/>
      <c r="C473" s="53"/>
      <c r="D473" s="53"/>
      <c r="E473" s="53"/>
      <c r="F473" s="55"/>
      <c r="G473" s="248"/>
      <c r="H473" s="159"/>
      <c r="I473" s="159"/>
      <c r="J473" s="159"/>
      <c r="K473" s="159"/>
      <c r="L473" s="159"/>
      <c r="M473" s="159"/>
      <c r="N473" s="159"/>
      <c r="O473" s="201"/>
      <c r="P473" s="370"/>
      <c r="Q473" s="371"/>
    </row>
    <row r="474" spans="1:17" s="1" customFormat="1" ht="15" hidden="1" thickBot="1">
      <c r="A474" s="290" t="s">
        <v>368</v>
      </c>
      <c r="B474" s="153" t="s">
        <v>134</v>
      </c>
      <c r="C474" s="154" t="s">
        <v>171</v>
      </c>
      <c r="D474" s="154" t="s">
        <v>184</v>
      </c>
      <c r="E474" s="56"/>
      <c r="F474" s="58"/>
      <c r="G474" s="155">
        <f aca="true" t="shared" si="83" ref="G474:Q476">G475</f>
        <v>0</v>
      </c>
      <c r="H474" s="155">
        <f t="shared" si="83"/>
        <v>0</v>
      </c>
      <c r="I474" s="155">
        <f t="shared" si="83"/>
        <v>0</v>
      </c>
      <c r="J474" s="155">
        <f t="shared" si="83"/>
        <v>1000</v>
      </c>
      <c r="K474" s="167">
        <f t="shared" si="83"/>
        <v>1000</v>
      </c>
      <c r="L474" s="167">
        <f t="shared" si="83"/>
        <v>0</v>
      </c>
      <c r="M474" s="167">
        <f t="shared" si="83"/>
        <v>-947.6</v>
      </c>
      <c r="N474" s="167">
        <f t="shared" si="83"/>
        <v>0</v>
      </c>
      <c r="O474" s="155">
        <f t="shared" si="83"/>
        <v>0</v>
      </c>
      <c r="P474" s="396">
        <f t="shared" si="83"/>
        <v>0</v>
      </c>
      <c r="Q474" s="397">
        <f t="shared" si="83"/>
        <v>0</v>
      </c>
    </row>
    <row r="475" spans="1:17" s="1" customFormat="1" ht="36" customHeight="1" hidden="1" thickBot="1">
      <c r="A475" s="279" t="s">
        <v>371</v>
      </c>
      <c r="B475" s="153" t="s">
        <v>134</v>
      </c>
      <c r="C475" s="154" t="s">
        <v>171</v>
      </c>
      <c r="D475" s="154" t="s">
        <v>184</v>
      </c>
      <c r="E475" s="27" t="s">
        <v>369</v>
      </c>
      <c r="F475" s="58"/>
      <c r="G475" s="155">
        <f t="shared" si="83"/>
        <v>0</v>
      </c>
      <c r="H475" s="155">
        <f t="shared" si="83"/>
        <v>0</v>
      </c>
      <c r="I475" s="155">
        <f t="shared" si="83"/>
        <v>0</v>
      </c>
      <c r="J475" s="155">
        <f t="shared" si="83"/>
        <v>1000</v>
      </c>
      <c r="K475" s="167">
        <f t="shared" si="83"/>
        <v>1000</v>
      </c>
      <c r="L475" s="167">
        <f t="shared" si="83"/>
        <v>0</v>
      </c>
      <c r="M475" s="167">
        <f t="shared" si="83"/>
        <v>-947.6</v>
      </c>
      <c r="N475" s="167">
        <f t="shared" si="83"/>
        <v>0</v>
      </c>
      <c r="O475" s="155">
        <f t="shared" si="83"/>
        <v>0</v>
      </c>
      <c r="P475" s="396">
        <f t="shared" si="83"/>
        <v>0</v>
      </c>
      <c r="Q475" s="397">
        <f t="shared" si="83"/>
        <v>0</v>
      </c>
    </row>
    <row r="476" spans="1:17" s="1" customFormat="1" ht="24" customHeight="1" hidden="1">
      <c r="A476" s="291" t="s">
        <v>372</v>
      </c>
      <c r="B476" s="153" t="s">
        <v>134</v>
      </c>
      <c r="C476" s="154" t="s">
        <v>171</v>
      </c>
      <c r="D476" s="154" t="s">
        <v>184</v>
      </c>
      <c r="E476" s="27" t="s">
        <v>370</v>
      </c>
      <c r="F476" s="58"/>
      <c r="G476" s="155">
        <f t="shared" si="83"/>
        <v>0</v>
      </c>
      <c r="H476" s="155">
        <f t="shared" si="83"/>
        <v>0</v>
      </c>
      <c r="I476" s="155">
        <f t="shared" si="83"/>
        <v>0</v>
      </c>
      <c r="J476" s="155">
        <f t="shared" si="83"/>
        <v>1000</v>
      </c>
      <c r="K476" s="167">
        <f>K477</f>
        <v>1000</v>
      </c>
      <c r="L476" s="167">
        <f t="shared" si="83"/>
        <v>0</v>
      </c>
      <c r="M476" s="167">
        <f t="shared" si="83"/>
        <v>-947.6</v>
      </c>
      <c r="N476" s="167">
        <f t="shared" si="83"/>
        <v>0</v>
      </c>
      <c r="O476" s="155">
        <f t="shared" si="83"/>
        <v>0</v>
      </c>
      <c r="P476" s="396">
        <f t="shared" si="83"/>
        <v>0</v>
      </c>
      <c r="Q476" s="397">
        <f t="shared" si="83"/>
        <v>0</v>
      </c>
    </row>
    <row r="477" spans="1:17" s="1" customFormat="1" ht="18" customHeight="1" hidden="1" thickBot="1">
      <c r="A477" s="277" t="s">
        <v>80</v>
      </c>
      <c r="B477" s="26" t="s">
        <v>134</v>
      </c>
      <c r="C477" s="56" t="s">
        <v>171</v>
      </c>
      <c r="D477" s="56" t="s">
        <v>184</v>
      </c>
      <c r="E477" s="56" t="s">
        <v>370</v>
      </c>
      <c r="F477" s="58" t="s">
        <v>77</v>
      </c>
      <c r="G477" s="155"/>
      <c r="H477" s="155"/>
      <c r="I477" s="155"/>
      <c r="J477" s="155">
        <v>1000</v>
      </c>
      <c r="K477" s="167">
        <f>G477+J477</f>
        <v>1000</v>
      </c>
      <c r="L477" s="187"/>
      <c r="M477" s="52">
        <f>-782.6-165</f>
        <v>-947.6</v>
      </c>
      <c r="N477" s="71"/>
      <c r="O477" s="71"/>
      <c r="P477" s="370"/>
      <c r="Q477" s="371"/>
    </row>
    <row r="478" spans="1:17" s="1" customFormat="1" ht="16.5" customHeight="1" thickBot="1">
      <c r="A478" s="292" t="s">
        <v>245</v>
      </c>
      <c r="B478" s="140" t="s">
        <v>133</v>
      </c>
      <c r="C478" s="17" t="s">
        <v>171</v>
      </c>
      <c r="D478" s="17" t="s">
        <v>246</v>
      </c>
      <c r="E478" s="17"/>
      <c r="F478" s="19"/>
      <c r="G478" s="130" t="e">
        <f>#REF!+G504</f>
        <v>#REF!</v>
      </c>
      <c r="H478" s="130" t="e">
        <f>#REF!+H504</f>
        <v>#REF!</v>
      </c>
      <c r="I478" s="130" t="e">
        <f>#REF!+I504</f>
        <v>#REF!</v>
      </c>
      <c r="J478" s="130" t="e">
        <f>#REF!+J504</f>
        <v>#REF!</v>
      </c>
      <c r="K478" s="171" t="e">
        <f>#REF!+K504</f>
        <v>#REF!</v>
      </c>
      <c r="L478" s="171" t="e">
        <f>#REF!+L504</f>
        <v>#REF!</v>
      </c>
      <c r="M478" s="171" t="e">
        <f>#REF!+M504</f>
        <v>#REF!</v>
      </c>
      <c r="N478" s="171">
        <f>N491</f>
        <v>0</v>
      </c>
      <c r="O478" s="130">
        <f>O491</f>
        <v>3156.9</v>
      </c>
      <c r="P478" s="366">
        <f>P491</f>
        <v>3222.1</v>
      </c>
      <c r="Q478" s="367">
        <f>Q491</f>
        <v>3392.6</v>
      </c>
    </row>
    <row r="479" spans="1:17" s="1" customFormat="1" ht="1.5" customHeight="1" hidden="1">
      <c r="A479" s="275" t="s">
        <v>247</v>
      </c>
      <c r="B479" s="73" t="s">
        <v>134</v>
      </c>
      <c r="C479" s="81" t="s">
        <v>171</v>
      </c>
      <c r="D479" s="81" t="s">
        <v>246</v>
      </c>
      <c r="E479" s="81" t="s">
        <v>248</v>
      </c>
      <c r="F479" s="77" t="s">
        <v>133</v>
      </c>
      <c r="G479" s="64">
        <f aca="true" t="shared" si="84" ref="G479:K481">G480</f>
        <v>0</v>
      </c>
      <c r="H479" s="37">
        <f t="shared" si="84"/>
        <v>0</v>
      </c>
      <c r="I479" s="37">
        <f t="shared" si="84"/>
        <v>0</v>
      </c>
      <c r="J479" s="64">
        <f t="shared" si="84"/>
        <v>0</v>
      </c>
      <c r="K479" s="176">
        <f t="shared" si="84"/>
        <v>0</v>
      </c>
      <c r="L479" s="187"/>
      <c r="M479" s="52"/>
      <c r="N479" s="71"/>
      <c r="O479" s="71"/>
      <c r="P479" s="370"/>
      <c r="Q479" s="371"/>
    </row>
    <row r="480" spans="1:17" s="1" customFormat="1" ht="23.25" customHeight="1" hidden="1">
      <c r="A480" s="270" t="s">
        <v>139</v>
      </c>
      <c r="B480" s="48" t="s">
        <v>134</v>
      </c>
      <c r="C480" s="53" t="s">
        <v>171</v>
      </c>
      <c r="D480" s="53" t="s">
        <v>246</v>
      </c>
      <c r="E480" s="53" t="s">
        <v>248</v>
      </c>
      <c r="F480" s="55" t="s">
        <v>140</v>
      </c>
      <c r="G480" s="71">
        <f t="shared" si="84"/>
        <v>0</v>
      </c>
      <c r="H480" s="52">
        <f t="shared" si="84"/>
        <v>0</v>
      </c>
      <c r="I480" s="52">
        <f t="shared" si="84"/>
        <v>0</v>
      </c>
      <c r="J480" s="71">
        <f t="shared" si="84"/>
        <v>0</v>
      </c>
      <c r="K480" s="173">
        <f t="shared" si="84"/>
        <v>0</v>
      </c>
      <c r="L480" s="187"/>
      <c r="M480" s="52"/>
      <c r="N480" s="71"/>
      <c r="O480" s="71"/>
      <c r="P480" s="370"/>
      <c r="Q480" s="371"/>
    </row>
    <row r="481" spans="1:17" s="1" customFormat="1" ht="3" customHeight="1" hidden="1">
      <c r="A481" s="288" t="s">
        <v>141</v>
      </c>
      <c r="B481" s="48" t="s">
        <v>134</v>
      </c>
      <c r="C481" s="53" t="s">
        <v>171</v>
      </c>
      <c r="D481" s="53" t="s">
        <v>246</v>
      </c>
      <c r="E481" s="53" t="s">
        <v>248</v>
      </c>
      <c r="F481" s="55" t="s">
        <v>140</v>
      </c>
      <c r="G481" s="71">
        <f t="shared" si="84"/>
        <v>0</v>
      </c>
      <c r="H481" s="52">
        <f t="shared" si="84"/>
        <v>0</v>
      </c>
      <c r="I481" s="52">
        <f t="shared" si="84"/>
        <v>0</v>
      </c>
      <c r="J481" s="71">
        <f t="shared" si="84"/>
        <v>0</v>
      </c>
      <c r="K481" s="173">
        <f t="shared" si="84"/>
        <v>0</v>
      </c>
      <c r="L481" s="187"/>
      <c r="M481" s="52"/>
      <c r="N481" s="71"/>
      <c r="O481" s="71"/>
      <c r="P481" s="370"/>
      <c r="Q481" s="371"/>
    </row>
    <row r="482" spans="1:17" s="1" customFormat="1" ht="13.5" hidden="1" thickBot="1">
      <c r="A482" s="286" t="s">
        <v>234</v>
      </c>
      <c r="B482" s="48" t="s">
        <v>134</v>
      </c>
      <c r="C482" s="53" t="s">
        <v>171</v>
      </c>
      <c r="D482" s="53" t="s">
        <v>246</v>
      </c>
      <c r="E482" s="53" t="s">
        <v>248</v>
      </c>
      <c r="F482" s="55" t="s">
        <v>140</v>
      </c>
      <c r="G482" s="71">
        <f>SUM(G483:G484)</f>
        <v>0</v>
      </c>
      <c r="H482" s="52">
        <f>SUM(H483:H484)</f>
        <v>0</v>
      </c>
      <c r="I482" s="52">
        <f>SUM(I483:I484)</f>
        <v>0</v>
      </c>
      <c r="J482" s="71">
        <f>SUM(J483:J484)</f>
        <v>0</v>
      </c>
      <c r="K482" s="173">
        <f>SUM(K483:K484)</f>
        <v>0</v>
      </c>
      <c r="L482" s="187"/>
      <c r="M482" s="52"/>
      <c r="N482" s="71"/>
      <c r="O482" s="71"/>
      <c r="P482" s="370"/>
      <c r="Q482" s="371"/>
    </row>
    <row r="483" spans="1:17" s="1" customFormat="1" ht="13.5" hidden="1" thickBot="1">
      <c r="A483" s="270" t="s">
        <v>157</v>
      </c>
      <c r="B483" s="48" t="s">
        <v>134</v>
      </c>
      <c r="C483" s="53" t="s">
        <v>171</v>
      </c>
      <c r="D483" s="53" t="s">
        <v>246</v>
      </c>
      <c r="E483" s="53" t="s">
        <v>248</v>
      </c>
      <c r="F483" s="55" t="s">
        <v>140</v>
      </c>
      <c r="G483" s="71"/>
      <c r="H483" s="52"/>
      <c r="I483" s="52"/>
      <c r="J483" s="71"/>
      <c r="K483" s="173"/>
      <c r="L483" s="187"/>
      <c r="M483" s="52"/>
      <c r="N483" s="71"/>
      <c r="O483" s="71"/>
      <c r="P483" s="370"/>
      <c r="Q483" s="371"/>
    </row>
    <row r="484" spans="1:17" s="1" customFormat="1" ht="13.5" hidden="1" thickBot="1">
      <c r="A484" s="270" t="s">
        <v>157</v>
      </c>
      <c r="B484" s="48" t="s">
        <v>134</v>
      </c>
      <c r="C484" s="53" t="s">
        <v>171</v>
      </c>
      <c r="D484" s="53" t="s">
        <v>246</v>
      </c>
      <c r="E484" s="53" t="s">
        <v>248</v>
      </c>
      <c r="F484" s="55" t="s">
        <v>140</v>
      </c>
      <c r="G484" s="71"/>
      <c r="H484" s="52"/>
      <c r="I484" s="52"/>
      <c r="J484" s="71"/>
      <c r="K484" s="173"/>
      <c r="L484" s="187"/>
      <c r="M484" s="52"/>
      <c r="N484" s="71"/>
      <c r="O484" s="71"/>
      <c r="P484" s="370"/>
      <c r="Q484" s="371"/>
    </row>
    <row r="485" spans="1:17" s="1" customFormat="1" ht="39" hidden="1" thickBot="1">
      <c r="A485" s="293" t="s">
        <v>249</v>
      </c>
      <c r="B485" s="48" t="s">
        <v>134</v>
      </c>
      <c r="C485" s="53" t="s">
        <v>171</v>
      </c>
      <c r="D485" s="53" t="s">
        <v>246</v>
      </c>
      <c r="E485" s="53" t="s">
        <v>250</v>
      </c>
      <c r="F485" s="55" t="s">
        <v>133</v>
      </c>
      <c r="G485" s="71">
        <f>G487</f>
        <v>0</v>
      </c>
      <c r="H485" s="52">
        <f>H487</f>
        <v>0</v>
      </c>
      <c r="I485" s="52">
        <f>I487</f>
        <v>0</v>
      </c>
      <c r="J485" s="71">
        <f>J487</f>
        <v>0</v>
      </c>
      <c r="K485" s="173">
        <f>K487</f>
        <v>0</v>
      </c>
      <c r="L485" s="187"/>
      <c r="M485" s="52"/>
      <c r="N485" s="71"/>
      <c r="O485" s="71"/>
      <c r="P485" s="370"/>
      <c r="Q485" s="371"/>
    </row>
    <row r="486" spans="1:17" s="1" customFormat="1" ht="16.5" customHeight="1" hidden="1">
      <c r="A486" s="294" t="s">
        <v>251</v>
      </c>
      <c r="B486" s="48" t="s">
        <v>134</v>
      </c>
      <c r="C486" s="53" t="s">
        <v>171</v>
      </c>
      <c r="D486" s="53" t="s">
        <v>246</v>
      </c>
      <c r="E486" s="53" t="s">
        <v>250</v>
      </c>
      <c r="F486" s="55" t="s">
        <v>252</v>
      </c>
      <c r="G486" s="71">
        <f aca="true" t="shared" si="85" ref="G486:K488">G487</f>
        <v>0</v>
      </c>
      <c r="H486" s="52">
        <f t="shared" si="85"/>
        <v>0</v>
      </c>
      <c r="I486" s="52">
        <f t="shared" si="85"/>
        <v>0</v>
      </c>
      <c r="J486" s="71">
        <f t="shared" si="85"/>
        <v>0</v>
      </c>
      <c r="K486" s="173">
        <f t="shared" si="85"/>
        <v>0</v>
      </c>
      <c r="L486" s="187"/>
      <c r="M486" s="52"/>
      <c r="N486" s="71"/>
      <c r="O486" s="71"/>
      <c r="P486" s="370"/>
      <c r="Q486" s="371"/>
    </row>
    <row r="487" spans="1:17" s="1" customFormat="1" ht="12.75" customHeight="1" hidden="1">
      <c r="A487" s="288" t="s">
        <v>141</v>
      </c>
      <c r="B487" s="48" t="s">
        <v>134</v>
      </c>
      <c r="C487" s="53" t="s">
        <v>171</v>
      </c>
      <c r="D487" s="53" t="s">
        <v>246</v>
      </c>
      <c r="E487" s="53" t="s">
        <v>250</v>
      </c>
      <c r="F487" s="55" t="s">
        <v>252</v>
      </c>
      <c r="G487" s="71">
        <f t="shared" si="85"/>
        <v>0</v>
      </c>
      <c r="H487" s="52">
        <f t="shared" si="85"/>
        <v>0</v>
      </c>
      <c r="I487" s="52">
        <f t="shared" si="85"/>
        <v>0</v>
      </c>
      <c r="J487" s="71">
        <f t="shared" si="85"/>
        <v>0</v>
      </c>
      <c r="K487" s="173">
        <f t="shared" si="85"/>
        <v>0</v>
      </c>
      <c r="L487" s="187"/>
      <c r="M487" s="52"/>
      <c r="N487" s="71"/>
      <c r="O487" s="71"/>
      <c r="P487" s="370"/>
      <c r="Q487" s="371"/>
    </row>
    <row r="488" spans="1:17" s="1" customFormat="1" ht="13.5" customHeight="1" hidden="1">
      <c r="A488" s="286" t="s">
        <v>234</v>
      </c>
      <c r="B488" s="48" t="s">
        <v>134</v>
      </c>
      <c r="C488" s="53" t="s">
        <v>171</v>
      </c>
      <c r="D488" s="53" t="s">
        <v>246</v>
      </c>
      <c r="E488" s="53" t="s">
        <v>250</v>
      </c>
      <c r="F488" s="55" t="s">
        <v>252</v>
      </c>
      <c r="G488" s="71">
        <f t="shared" si="85"/>
        <v>0</v>
      </c>
      <c r="H488" s="52">
        <f t="shared" si="85"/>
        <v>0</v>
      </c>
      <c r="I488" s="52">
        <f t="shared" si="85"/>
        <v>0</v>
      </c>
      <c r="J488" s="71">
        <f t="shared" si="85"/>
        <v>0</v>
      </c>
      <c r="K488" s="173">
        <f t="shared" si="85"/>
        <v>0</v>
      </c>
      <c r="L488" s="187"/>
      <c r="M488" s="52"/>
      <c r="N488" s="71"/>
      <c r="O488" s="71"/>
      <c r="P488" s="370"/>
      <c r="Q488" s="371"/>
    </row>
    <row r="489" spans="1:17" s="1" customFormat="1" ht="18.75" customHeight="1" hidden="1">
      <c r="A489" s="270" t="s">
        <v>157</v>
      </c>
      <c r="B489" s="48" t="s">
        <v>134</v>
      </c>
      <c r="C489" s="53" t="s">
        <v>171</v>
      </c>
      <c r="D489" s="53" t="s">
        <v>246</v>
      </c>
      <c r="E489" s="53" t="s">
        <v>250</v>
      </c>
      <c r="F489" s="55" t="s">
        <v>252</v>
      </c>
      <c r="G489" s="71"/>
      <c r="H489" s="52"/>
      <c r="I489" s="52"/>
      <c r="J489" s="71"/>
      <c r="K489" s="173"/>
      <c r="L489" s="187"/>
      <c r="M489" s="52"/>
      <c r="N489" s="71"/>
      <c r="O489" s="71"/>
      <c r="P489" s="370"/>
      <c r="Q489" s="371"/>
    </row>
    <row r="490" spans="1:17" s="1" customFormat="1" ht="13.5" hidden="1" thickBot="1">
      <c r="A490" s="281" t="s">
        <v>224</v>
      </c>
      <c r="B490" s="66"/>
      <c r="C490" s="92" t="s">
        <v>171</v>
      </c>
      <c r="D490" s="92" t="s">
        <v>246</v>
      </c>
      <c r="E490" s="92" t="s">
        <v>253</v>
      </c>
      <c r="F490" s="94" t="s">
        <v>133</v>
      </c>
      <c r="G490" s="134" t="e">
        <f>G503+G504</f>
        <v>#REF!</v>
      </c>
      <c r="H490" s="89" t="e">
        <f>H503+H504</f>
        <v>#REF!</v>
      </c>
      <c r="I490" s="89" t="e">
        <f>I503+I504</f>
        <v>#REF!</v>
      </c>
      <c r="J490" s="134" t="e">
        <f>J503+J504</f>
        <v>#REF!</v>
      </c>
      <c r="K490" s="161" t="e">
        <f>K503+K504</f>
        <v>#REF!</v>
      </c>
      <c r="L490" s="187"/>
      <c r="M490" s="52"/>
      <c r="N490" s="71"/>
      <c r="O490" s="71"/>
      <c r="P490" s="370"/>
      <c r="Q490" s="371"/>
    </row>
    <row r="491" spans="1:17" s="1" customFormat="1" ht="16.5" customHeight="1" thickBot="1">
      <c r="A491" s="274" t="s">
        <v>402</v>
      </c>
      <c r="B491" s="26" t="s">
        <v>133</v>
      </c>
      <c r="C491" s="27" t="s">
        <v>171</v>
      </c>
      <c r="D491" s="27" t="s">
        <v>246</v>
      </c>
      <c r="E491" s="27" t="s">
        <v>417</v>
      </c>
      <c r="F491" s="28"/>
      <c r="G491" s="155"/>
      <c r="H491" s="155"/>
      <c r="I491" s="155"/>
      <c r="J491" s="155"/>
      <c r="K491" s="167"/>
      <c r="L491" s="176"/>
      <c r="M491" s="176"/>
      <c r="N491" s="176">
        <f>N504+N518</f>
        <v>0</v>
      </c>
      <c r="O491" s="64">
        <f>O504+O518</f>
        <v>3156.9</v>
      </c>
      <c r="P491" s="380">
        <f>P504+P518</f>
        <v>3222.1</v>
      </c>
      <c r="Q491" s="381">
        <f>Q504+Q518</f>
        <v>3392.6</v>
      </c>
    </row>
    <row r="492" spans="1:17" s="1" customFormat="1" ht="15" customHeight="1" hidden="1">
      <c r="A492" s="295" t="s">
        <v>254</v>
      </c>
      <c r="B492" s="43" t="s">
        <v>134</v>
      </c>
      <c r="C492" s="44" t="s">
        <v>171</v>
      </c>
      <c r="D492" s="44" t="s">
        <v>246</v>
      </c>
      <c r="E492" s="44" t="s">
        <v>255</v>
      </c>
      <c r="F492" s="46" t="s">
        <v>133</v>
      </c>
      <c r="G492" s="64">
        <f>G493+G495</f>
        <v>0</v>
      </c>
      <c r="H492" s="37">
        <f>H493+H495</f>
        <v>0</v>
      </c>
      <c r="I492" s="37">
        <f>I493+I495</f>
        <v>0</v>
      </c>
      <c r="J492" s="64">
        <f>J493+J495</f>
        <v>0</v>
      </c>
      <c r="K492" s="176">
        <f>K493+K495</f>
        <v>0</v>
      </c>
      <c r="L492" s="187"/>
      <c r="M492" s="52"/>
      <c r="N492" s="71"/>
      <c r="O492" s="71"/>
      <c r="P492" s="370"/>
      <c r="Q492" s="371"/>
    </row>
    <row r="493" spans="1:17" s="1" customFormat="1" ht="25.5" customHeight="1" hidden="1">
      <c r="A493" s="296" t="s">
        <v>256</v>
      </c>
      <c r="B493" s="73" t="s">
        <v>134</v>
      </c>
      <c r="C493" s="81" t="s">
        <v>171</v>
      </c>
      <c r="D493" s="81" t="s">
        <v>246</v>
      </c>
      <c r="E493" s="81" t="s">
        <v>257</v>
      </c>
      <c r="F493" s="77" t="s">
        <v>133</v>
      </c>
      <c r="G493" s="64">
        <f>G494</f>
        <v>0</v>
      </c>
      <c r="H493" s="37">
        <f>H494</f>
        <v>0</v>
      </c>
      <c r="I493" s="37">
        <f>I494</f>
        <v>0</v>
      </c>
      <c r="J493" s="64">
        <f>J494</f>
        <v>0</v>
      </c>
      <c r="K493" s="176">
        <f>K494</f>
        <v>0</v>
      </c>
      <c r="L493" s="187"/>
      <c r="M493" s="52"/>
      <c r="N493" s="71"/>
      <c r="O493" s="71"/>
      <c r="P493" s="370"/>
      <c r="Q493" s="371"/>
    </row>
    <row r="494" spans="1:17" s="1" customFormat="1" ht="14.25" customHeight="1" hidden="1">
      <c r="A494" s="297" t="s">
        <v>251</v>
      </c>
      <c r="B494" s="73" t="s">
        <v>134</v>
      </c>
      <c r="C494" s="81" t="s">
        <v>171</v>
      </c>
      <c r="D494" s="81" t="s">
        <v>246</v>
      </c>
      <c r="E494" s="81" t="s">
        <v>257</v>
      </c>
      <c r="F494" s="77" t="s">
        <v>252</v>
      </c>
      <c r="G494" s="76"/>
      <c r="H494" s="98"/>
      <c r="I494" s="98"/>
      <c r="J494" s="76"/>
      <c r="K494" s="166"/>
      <c r="L494" s="189"/>
      <c r="M494" s="59"/>
      <c r="N494" s="65"/>
      <c r="O494" s="65"/>
      <c r="P494" s="374"/>
      <c r="Q494" s="375"/>
    </row>
    <row r="495" spans="1:17" s="1" customFormat="1" ht="39" hidden="1" thickBot="1">
      <c r="A495" s="283" t="s">
        <v>258</v>
      </c>
      <c r="B495" s="73" t="s">
        <v>134</v>
      </c>
      <c r="C495" s="81" t="s">
        <v>171</v>
      </c>
      <c r="D495" s="81" t="s">
        <v>246</v>
      </c>
      <c r="E495" s="81" t="s">
        <v>259</v>
      </c>
      <c r="F495" s="77" t="s">
        <v>133</v>
      </c>
      <c r="G495" s="71">
        <f>G496</f>
        <v>0</v>
      </c>
      <c r="H495" s="52">
        <f>H496</f>
        <v>0</v>
      </c>
      <c r="I495" s="52">
        <f>I496</f>
        <v>0</v>
      </c>
      <c r="J495" s="71">
        <f>J496</f>
        <v>0</v>
      </c>
      <c r="K495" s="173">
        <f>K496</f>
        <v>0</v>
      </c>
      <c r="L495" s="187"/>
      <c r="M495" s="52"/>
      <c r="N495" s="71"/>
      <c r="O495" s="71"/>
      <c r="P495" s="370"/>
      <c r="Q495" s="371"/>
    </row>
    <row r="496" spans="1:17" s="1" customFormat="1" ht="13.5" hidden="1" thickBot="1">
      <c r="A496" s="297" t="s">
        <v>251</v>
      </c>
      <c r="B496" s="48" t="s">
        <v>134</v>
      </c>
      <c r="C496" s="53" t="s">
        <v>171</v>
      </c>
      <c r="D496" s="53" t="s">
        <v>246</v>
      </c>
      <c r="E496" s="53" t="s">
        <v>259</v>
      </c>
      <c r="F496" s="55" t="s">
        <v>252</v>
      </c>
      <c r="G496" s="65">
        <f>G502</f>
        <v>0</v>
      </c>
      <c r="H496" s="59">
        <f>H502</f>
        <v>0</v>
      </c>
      <c r="I496" s="59">
        <f>I502</f>
        <v>0</v>
      </c>
      <c r="J496" s="65">
        <f>J502</f>
        <v>0</v>
      </c>
      <c r="K496" s="164">
        <f>K502</f>
        <v>0</v>
      </c>
      <c r="L496" s="189"/>
      <c r="M496" s="59"/>
      <c r="N496" s="65"/>
      <c r="O496" s="65"/>
      <c r="P496" s="374"/>
      <c r="Q496" s="375"/>
    </row>
    <row r="497" spans="1:17" s="1" customFormat="1" ht="13.5" hidden="1" thickBot="1">
      <c r="A497" s="287" t="s">
        <v>141</v>
      </c>
      <c r="B497" s="73" t="s">
        <v>134</v>
      </c>
      <c r="C497" s="74" t="s">
        <v>171</v>
      </c>
      <c r="D497" s="74" t="s">
        <v>246</v>
      </c>
      <c r="E497" s="60" t="s">
        <v>260</v>
      </c>
      <c r="F497" s="75" t="s">
        <v>252</v>
      </c>
      <c r="G497" s="71"/>
      <c r="H497" s="52"/>
      <c r="I497" s="52"/>
      <c r="J497" s="71"/>
      <c r="K497" s="173"/>
      <c r="L497" s="187"/>
      <c r="M497" s="52"/>
      <c r="N497" s="71"/>
      <c r="O497" s="71"/>
      <c r="P497" s="370"/>
      <c r="Q497" s="371"/>
    </row>
    <row r="498" spans="1:17" s="1" customFormat="1" ht="13.5" hidden="1" thickBot="1">
      <c r="A498" s="286" t="s">
        <v>234</v>
      </c>
      <c r="B498" s="48" t="s">
        <v>134</v>
      </c>
      <c r="C498" s="53" t="s">
        <v>171</v>
      </c>
      <c r="D498" s="53" t="s">
        <v>246</v>
      </c>
      <c r="E498" s="87" t="s">
        <v>260</v>
      </c>
      <c r="F498" s="55" t="s">
        <v>252</v>
      </c>
      <c r="G498" s="71"/>
      <c r="H498" s="52"/>
      <c r="I498" s="52"/>
      <c r="J498" s="71"/>
      <c r="K498" s="173"/>
      <c r="L498" s="187"/>
      <c r="M498" s="52"/>
      <c r="N498" s="71"/>
      <c r="O498" s="71"/>
      <c r="P498" s="370"/>
      <c r="Q498" s="371"/>
    </row>
    <row r="499" spans="1:17" s="1" customFormat="1" ht="13.5" hidden="1" thickBot="1">
      <c r="A499" s="282" t="s">
        <v>157</v>
      </c>
      <c r="B499" s="86" t="s">
        <v>134</v>
      </c>
      <c r="C499" s="87" t="s">
        <v>171</v>
      </c>
      <c r="D499" s="87" t="s">
        <v>246</v>
      </c>
      <c r="E499" s="87" t="s">
        <v>260</v>
      </c>
      <c r="F499" s="88" t="s">
        <v>252</v>
      </c>
      <c r="G499" s="71"/>
      <c r="H499" s="52"/>
      <c r="I499" s="52"/>
      <c r="J499" s="71"/>
      <c r="K499" s="173"/>
      <c r="L499" s="187"/>
      <c r="M499" s="52"/>
      <c r="N499" s="71"/>
      <c r="O499" s="71"/>
      <c r="P499" s="370"/>
      <c r="Q499" s="371"/>
    </row>
    <row r="500" spans="1:17" s="1" customFormat="1" ht="13.5" hidden="1" thickBot="1">
      <c r="A500" s="270"/>
      <c r="B500" s="48"/>
      <c r="C500" s="49"/>
      <c r="D500" s="49"/>
      <c r="E500" s="49"/>
      <c r="F500" s="51"/>
      <c r="G500" s="71"/>
      <c r="H500" s="52"/>
      <c r="I500" s="52"/>
      <c r="J500" s="71"/>
      <c r="K500" s="173"/>
      <c r="L500" s="187"/>
      <c r="M500" s="52"/>
      <c r="N500" s="71"/>
      <c r="O500" s="71"/>
      <c r="P500" s="370"/>
      <c r="Q500" s="371"/>
    </row>
    <row r="501" spans="1:17" s="1" customFormat="1" ht="13.5" hidden="1" thickBot="1">
      <c r="A501" s="281"/>
      <c r="B501" s="66"/>
      <c r="C501" s="92"/>
      <c r="D501" s="92"/>
      <c r="E501" s="92"/>
      <c r="F501" s="94"/>
      <c r="G501" s="71"/>
      <c r="H501" s="52"/>
      <c r="I501" s="52"/>
      <c r="J501" s="71"/>
      <c r="K501" s="173"/>
      <c r="L501" s="187"/>
      <c r="M501" s="52"/>
      <c r="N501" s="71"/>
      <c r="O501" s="71"/>
      <c r="P501" s="370"/>
      <c r="Q501" s="371"/>
    </row>
    <row r="502" spans="1:17" s="1" customFormat="1" ht="13.5" hidden="1" thickBot="1">
      <c r="A502" s="273"/>
      <c r="B502" s="35"/>
      <c r="C502" s="36"/>
      <c r="D502" s="36"/>
      <c r="E502" s="36"/>
      <c r="F502" s="62" t="s">
        <v>167</v>
      </c>
      <c r="G502" s="70"/>
      <c r="H502" s="63"/>
      <c r="I502" s="63"/>
      <c r="J502" s="70"/>
      <c r="K502" s="177"/>
      <c r="L502" s="189"/>
      <c r="M502" s="59"/>
      <c r="N502" s="65"/>
      <c r="O502" s="65"/>
      <c r="P502" s="374"/>
      <c r="Q502" s="375"/>
    </row>
    <row r="503" spans="1:17" s="1" customFormat="1" ht="3" customHeight="1" hidden="1" thickBot="1">
      <c r="A503" s="283" t="s">
        <v>261</v>
      </c>
      <c r="B503" s="73" t="s">
        <v>185</v>
      </c>
      <c r="C503" s="81" t="s">
        <v>171</v>
      </c>
      <c r="D503" s="81" t="s">
        <v>246</v>
      </c>
      <c r="E503" s="81" t="s">
        <v>253</v>
      </c>
      <c r="F503" s="77" t="s">
        <v>133</v>
      </c>
      <c r="G503" s="64" t="e">
        <f>#REF!</f>
        <v>#REF!</v>
      </c>
      <c r="H503" s="37" t="e">
        <f>#REF!</f>
        <v>#REF!</v>
      </c>
      <c r="I503" s="37" t="e">
        <f>#REF!</f>
        <v>#REF!</v>
      </c>
      <c r="J503" s="64" t="e">
        <f>#REF!</f>
        <v>#REF!</v>
      </c>
      <c r="K503" s="176" t="e">
        <f>#REF!</f>
        <v>#REF!</v>
      </c>
      <c r="L503" s="187"/>
      <c r="M503" s="52"/>
      <c r="N503" s="71"/>
      <c r="O503" s="71"/>
      <c r="P503" s="370"/>
      <c r="Q503" s="371"/>
    </row>
    <row r="504" spans="1:17" ht="16.5" customHeight="1">
      <c r="A504" s="269" t="s">
        <v>419</v>
      </c>
      <c r="B504" s="43" t="s">
        <v>133</v>
      </c>
      <c r="C504" s="44" t="s">
        <v>171</v>
      </c>
      <c r="D504" s="44" t="s">
        <v>246</v>
      </c>
      <c r="E504" s="44" t="s">
        <v>351</v>
      </c>
      <c r="F504" s="46"/>
      <c r="G504" s="131" t="e">
        <f>G505</f>
        <v>#REF!</v>
      </c>
      <c r="H504" s="47" t="e">
        <f>H505</f>
        <v>#REF!</v>
      </c>
      <c r="I504" s="47" t="e">
        <f>I505</f>
        <v>#REF!</v>
      </c>
      <c r="J504" s="131" t="e">
        <f>J505</f>
        <v>#REF!</v>
      </c>
      <c r="K504" s="172" t="e">
        <f>K522+K528+#REF!</f>
        <v>#REF!</v>
      </c>
      <c r="L504" s="172" t="e">
        <f>L522+L528+#REF!</f>
        <v>#REF!</v>
      </c>
      <c r="M504" s="172" t="e">
        <f>M522+M528+#REF!</f>
        <v>#REF!</v>
      </c>
      <c r="N504" s="172">
        <f>N510+N512+N514+N516</f>
        <v>0</v>
      </c>
      <c r="O504" s="131">
        <f>O510+O512+O514+O516</f>
        <v>1421.9</v>
      </c>
      <c r="P504" s="368">
        <f>P510+P512+P514+P516</f>
        <v>1424.1</v>
      </c>
      <c r="Q504" s="369">
        <f>Q510+Q512+Q514+Q516</f>
        <v>1441.6</v>
      </c>
    </row>
    <row r="505" spans="1:17" ht="12.75" hidden="1">
      <c r="A505" s="275" t="s">
        <v>139</v>
      </c>
      <c r="B505" s="73" t="s">
        <v>134</v>
      </c>
      <c r="C505" s="81" t="s">
        <v>171</v>
      </c>
      <c r="D505" s="81" t="s">
        <v>246</v>
      </c>
      <c r="E505" s="81" t="s">
        <v>219</v>
      </c>
      <c r="F505" s="77" t="s">
        <v>140</v>
      </c>
      <c r="G505" s="64" t="e">
        <f>G522+#REF!+G528</f>
        <v>#REF!</v>
      </c>
      <c r="H505" s="37" t="e">
        <f>H522+#REF!+H528</f>
        <v>#REF!</v>
      </c>
      <c r="I505" s="37" t="e">
        <f>I522+#REF!+I528</f>
        <v>#REF!</v>
      </c>
      <c r="J505" s="64" t="e">
        <f>J522+#REF!+J528</f>
        <v>#REF!</v>
      </c>
      <c r="K505" s="176" t="e">
        <f>K522+#REF!+K528</f>
        <v>#REF!</v>
      </c>
      <c r="L505" s="221"/>
      <c r="M505" s="37"/>
      <c r="N505" s="64"/>
      <c r="O505" s="64"/>
      <c r="P505" s="380"/>
      <c r="Q505" s="381"/>
    </row>
    <row r="506" spans="1:17" ht="15.75" customHeight="1" hidden="1">
      <c r="A506" s="288" t="s">
        <v>141</v>
      </c>
      <c r="B506" s="48" t="s">
        <v>134</v>
      </c>
      <c r="C506" s="53" t="s">
        <v>171</v>
      </c>
      <c r="D506" s="53" t="s">
        <v>246</v>
      </c>
      <c r="E506" s="53" t="s">
        <v>219</v>
      </c>
      <c r="F506" s="55" t="s">
        <v>140</v>
      </c>
      <c r="G506" s="71" t="e">
        <f>G507+#REF!</f>
        <v>#REF!</v>
      </c>
      <c r="H506" s="52" t="e">
        <f>H507+#REF!</f>
        <v>#REF!</v>
      </c>
      <c r="I506" s="52" t="e">
        <f>I507+#REF!</f>
        <v>#REF!</v>
      </c>
      <c r="J506" s="71" t="e">
        <f>J507+#REF!</f>
        <v>#REF!</v>
      </c>
      <c r="K506" s="173" t="e">
        <f>K507+#REF!</f>
        <v>#REF!</v>
      </c>
      <c r="L506" s="187"/>
      <c r="M506" s="52"/>
      <c r="N506" s="71"/>
      <c r="O506" s="71"/>
      <c r="P506" s="370"/>
      <c r="Q506" s="371"/>
    </row>
    <row r="507" spans="1:17" ht="15" customHeight="1" hidden="1">
      <c r="A507" s="286" t="s">
        <v>234</v>
      </c>
      <c r="B507" s="48" t="s">
        <v>134</v>
      </c>
      <c r="C507" s="53" t="s">
        <v>171</v>
      </c>
      <c r="D507" s="53" t="s">
        <v>246</v>
      </c>
      <c r="E507" s="53" t="s">
        <v>219</v>
      </c>
      <c r="F507" s="55" t="s">
        <v>140</v>
      </c>
      <c r="G507" s="71">
        <f>SUM(G509:G530)</f>
        <v>2577</v>
      </c>
      <c r="H507" s="52">
        <f>SUM(H509:H530)</f>
        <v>630</v>
      </c>
      <c r="I507" s="52">
        <f>SUM(I509:I530)</f>
        <v>690</v>
      </c>
      <c r="J507" s="71">
        <f>SUM(J509:J530)</f>
        <v>252.816</v>
      </c>
      <c r="K507" s="173">
        <f>SUM(K509:K530)</f>
        <v>2556.816</v>
      </c>
      <c r="L507" s="187"/>
      <c r="M507" s="52"/>
      <c r="N507" s="71"/>
      <c r="O507" s="71"/>
      <c r="P507" s="370"/>
      <c r="Q507" s="371"/>
    </row>
    <row r="508" spans="1:17" ht="15" customHeight="1" hidden="1">
      <c r="A508" s="270" t="s">
        <v>264</v>
      </c>
      <c r="B508" s="48" t="s">
        <v>265</v>
      </c>
      <c r="C508" s="53" t="s">
        <v>171</v>
      </c>
      <c r="D508" s="53" t="s">
        <v>246</v>
      </c>
      <c r="E508" s="53" t="s">
        <v>219</v>
      </c>
      <c r="F508" s="55" t="s">
        <v>140</v>
      </c>
      <c r="G508" s="71">
        <v>0</v>
      </c>
      <c r="H508" s="52">
        <v>0</v>
      </c>
      <c r="I508" s="52">
        <v>0</v>
      </c>
      <c r="J508" s="71">
        <v>0</v>
      </c>
      <c r="K508" s="173">
        <v>0</v>
      </c>
      <c r="L508" s="187"/>
      <c r="M508" s="52"/>
      <c r="N508" s="71"/>
      <c r="O508" s="71"/>
      <c r="P508" s="370"/>
      <c r="Q508" s="371"/>
    </row>
    <row r="509" spans="1:17" ht="15" customHeight="1" hidden="1">
      <c r="A509" s="270" t="s">
        <v>264</v>
      </c>
      <c r="B509" s="48" t="s">
        <v>134</v>
      </c>
      <c r="C509" s="53" t="s">
        <v>171</v>
      </c>
      <c r="D509" s="53" t="s">
        <v>246</v>
      </c>
      <c r="E509" s="53" t="s">
        <v>266</v>
      </c>
      <c r="F509" s="55" t="s">
        <v>140</v>
      </c>
      <c r="G509" s="71"/>
      <c r="H509" s="52"/>
      <c r="I509" s="52"/>
      <c r="J509" s="71"/>
      <c r="K509" s="173"/>
      <c r="L509" s="187"/>
      <c r="M509" s="52"/>
      <c r="N509" s="71"/>
      <c r="O509" s="71"/>
      <c r="P509" s="370"/>
      <c r="Q509" s="371"/>
    </row>
    <row r="510" spans="1:17" ht="16.5" customHeight="1">
      <c r="A510" s="270" t="s">
        <v>418</v>
      </c>
      <c r="B510" s="48" t="s">
        <v>134</v>
      </c>
      <c r="C510" s="49" t="s">
        <v>171</v>
      </c>
      <c r="D510" s="49" t="s">
        <v>246</v>
      </c>
      <c r="E510" s="49" t="s">
        <v>420</v>
      </c>
      <c r="F510" s="55"/>
      <c r="G510" s="71"/>
      <c r="H510" s="52"/>
      <c r="I510" s="52"/>
      <c r="J510" s="71"/>
      <c r="K510" s="173"/>
      <c r="L510" s="173"/>
      <c r="M510" s="173"/>
      <c r="N510" s="173">
        <f>N511</f>
        <v>0</v>
      </c>
      <c r="O510" s="71">
        <f>O511</f>
        <v>30.5</v>
      </c>
      <c r="P510" s="370">
        <f>P511</f>
        <v>30.5</v>
      </c>
      <c r="Q510" s="371">
        <f>Q511</f>
        <v>35.5</v>
      </c>
    </row>
    <row r="511" spans="1:17" ht="16.5" customHeight="1">
      <c r="A511" s="271" t="s">
        <v>80</v>
      </c>
      <c r="B511" s="66" t="s">
        <v>134</v>
      </c>
      <c r="C511" s="67" t="s">
        <v>171</v>
      </c>
      <c r="D511" s="67" t="s">
        <v>246</v>
      </c>
      <c r="E511" s="67" t="s">
        <v>420</v>
      </c>
      <c r="F511" s="69" t="s">
        <v>77</v>
      </c>
      <c r="G511" s="134"/>
      <c r="H511" s="89"/>
      <c r="I511" s="89"/>
      <c r="J511" s="134"/>
      <c r="K511" s="161"/>
      <c r="L511" s="161"/>
      <c r="M511" s="161"/>
      <c r="N511" s="161"/>
      <c r="O511" s="72">
        <v>30.5</v>
      </c>
      <c r="P511" s="388">
        <v>30.5</v>
      </c>
      <c r="Q511" s="389">
        <v>35.5</v>
      </c>
    </row>
    <row r="512" spans="1:17" ht="16.5" customHeight="1">
      <c r="A512" s="270" t="s">
        <v>421</v>
      </c>
      <c r="B512" s="48" t="s">
        <v>134</v>
      </c>
      <c r="C512" s="49" t="s">
        <v>171</v>
      </c>
      <c r="D512" s="49" t="s">
        <v>246</v>
      </c>
      <c r="E512" s="49" t="s">
        <v>422</v>
      </c>
      <c r="F512" s="51"/>
      <c r="G512" s="71"/>
      <c r="H512" s="71"/>
      <c r="I512" s="71"/>
      <c r="J512" s="71"/>
      <c r="K512" s="173"/>
      <c r="L512" s="173"/>
      <c r="M512" s="173"/>
      <c r="N512" s="173">
        <f>N513</f>
        <v>0</v>
      </c>
      <c r="O512" s="71">
        <f>O513</f>
        <v>95.4</v>
      </c>
      <c r="P512" s="370">
        <f>P513</f>
        <v>97.6</v>
      </c>
      <c r="Q512" s="371">
        <f>Q513</f>
        <v>110.1</v>
      </c>
    </row>
    <row r="513" spans="1:17" ht="16.5" customHeight="1">
      <c r="A513" s="271" t="s">
        <v>80</v>
      </c>
      <c r="B513" s="143" t="s">
        <v>134</v>
      </c>
      <c r="C513" s="56" t="s">
        <v>171</v>
      </c>
      <c r="D513" s="56" t="s">
        <v>246</v>
      </c>
      <c r="E513" s="56" t="s">
        <v>423</v>
      </c>
      <c r="F513" s="58" t="s">
        <v>77</v>
      </c>
      <c r="G513" s="155"/>
      <c r="H513" s="155"/>
      <c r="I513" s="155"/>
      <c r="J513" s="155"/>
      <c r="K513" s="167"/>
      <c r="L513" s="167"/>
      <c r="M513" s="167"/>
      <c r="N513" s="167"/>
      <c r="O513" s="136">
        <v>95.4</v>
      </c>
      <c r="P513" s="398">
        <v>97.6</v>
      </c>
      <c r="Q513" s="399">
        <v>110.1</v>
      </c>
    </row>
    <row r="514" spans="1:17" ht="16.5" customHeight="1">
      <c r="A514" s="270" t="s">
        <v>424</v>
      </c>
      <c r="B514" s="48" t="s">
        <v>226</v>
      </c>
      <c r="C514" s="49" t="s">
        <v>171</v>
      </c>
      <c r="D514" s="49" t="s">
        <v>246</v>
      </c>
      <c r="E514" s="49" t="s">
        <v>425</v>
      </c>
      <c r="F514" s="51"/>
      <c r="G514" s="71"/>
      <c r="H514" s="71"/>
      <c r="I514" s="71"/>
      <c r="J514" s="71"/>
      <c r="K514" s="173"/>
      <c r="L514" s="173"/>
      <c r="M514" s="173"/>
      <c r="N514" s="173">
        <f>N515</f>
        <v>0</v>
      </c>
      <c r="O514" s="71">
        <f>O515</f>
        <v>946</v>
      </c>
      <c r="P514" s="370">
        <f>P515</f>
        <v>946</v>
      </c>
      <c r="Q514" s="371">
        <f>Q515</f>
        <v>946</v>
      </c>
    </row>
    <row r="515" spans="1:17" ht="16.5" customHeight="1">
      <c r="A515" s="302" t="s">
        <v>90</v>
      </c>
      <c r="B515" s="143" t="s">
        <v>226</v>
      </c>
      <c r="C515" s="56" t="s">
        <v>171</v>
      </c>
      <c r="D515" s="56" t="s">
        <v>246</v>
      </c>
      <c r="E515" s="56" t="s">
        <v>426</v>
      </c>
      <c r="F515" s="58" t="s">
        <v>83</v>
      </c>
      <c r="G515" s="136"/>
      <c r="H515" s="136"/>
      <c r="I515" s="136"/>
      <c r="J515" s="136"/>
      <c r="K515" s="111"/>
      <c r="L515" s="111"/>
      <c r="M515" s="111"/>
      <c r="N515" s="111"/>
      <c r="O515" s="136">
        <v>946</v>
      </c>
      <c r="P515" s="398">
        <v>946</v>
      </c>
      <c r="Q515" s="399">
        <v>946</v>
      </c>
    </row>
    <row r="516" spans="1:17" ht="16.5" customHeight="1">
      <c r="A516" s="270" t="s">
        <v>427</v>
      </c>
      <c r="B516" s="48" t="s">
        <v>265</v>
      </c>
      <c r="C516" s="49" t="s">
        <v>171</v>
      </c>
      <c r="D516" s="49" t="s">
        <v>246</v>
      </c>
      <c r="E516" s="49" t="s">
        <v>428</v>
      </c>
      <c r="F516" s="51"/>
      <c r="G516" s="71"/>
      <c r="H516" s="71"/>
      <c r="I516" s="71"/>
      <c r="J516" s="71"/>
      <c r="K516" s="173"/>
      <c r="L516" s="173"/>
      <c r="M516" s="173"/>
      <c r="N516" s="173">
        <f>N517</f>
        <v>0</v>
      </c>
      <c r="O516" s="71">
        <f>O517</f>
        <v>350</v>
      </c>
      <c r="P516" s="370">
        <f>P517</f>
        <v>350</v>
      </c>
      <c r="Q516" s="371">
        <f>Q517</f>
        <v>350</v>
      </c>
    </row>
    <row r="517" spans="1:17" ht="16.5" customHeight="1">
      <c r="A517" s="302" t="s">
        <v>90</v>
      </c>
      <c r="B517" s="143" t="s">
        <v>265</v>
      </c>
      <c r="C517" s="56" t="s">
        <v>171</v>
      </c>
      <c r="D517" s="56" t="s">
        <v>246</v>
      </c>
      <c r="E517" s="56" t="s">
        <v>429</v>
      </c>
      <c r="F517" s="58" t="s">
        <v>83</v>
      </c>
      <c r="G517" s="136"/>
      <c r="H517" s="136"/>
      <c r="I517" s="136"/>
      <c r="J517" s="136"/>
      <c r="K517" s="111"/>
      <c r="L517" s="111"/>
      <c r="M517" s="111"/>
      <c r="N517" s="111"/>
      <c r="O517" s="136">
        <v>350</v>
      </c>
      <c r="P517" s="398">
        <v>350</v>
      </c>
      <c r="Q517" s="399">
        <v>350</v>
      </c>
    </row>
    <row r="518" spans="1:17" ht="16.5" customHeight="1">
      <c r="A518" s="270" t="s">
        <v>403</v>
      </c>
      <c r="B518" s="48" t="s">
        <v>134</v>
      </c>
      <c r="C518" s="49" t="s">
        <v>171</v>
      </c>
      <c r="D518" s="49" t="s">
        <v>246</v>
      </c>
      <c r="E518" s="49" t="s">
        <v>404</v>
      </c>
      <c r="F518" s="51"/>
      <c r="G518" s="71"/>
      <c r="H518" s="71"/>
      <c r="I518" s="71"/>
      <c r="J518" s="71"/>
      <c r="K518" s="173"/>
      <c r="L518" s="173"/>
      <c r="M518" s="173"/>
      <c r="N518" s="173">
        <f>N519+N522+N528</f>
        <v>0</v>
      </c>
      <c r="O518" s="71">
        <f>O519+O522+O528</f>
        <v>1735</v>
      </c>
      <c r="P518" s="370">
        <f>P519+P522+P528</f>
        <v>1798</v>
      </c>
      <c r="Q518" s="371">
        <f>Q519+Q522+Q528</f>
        <v>1951</v>
      </c>
    </row>
    <row r="519" spans="1:17" ht="25.5">
      <c r="A519" s="270" t="s">
        <v>415</v>
      </c>
      <c r="B519" s="48" t="s">
        <v>134</v>
      </c>
      <c r="C519" s="49" t="s">
        <v>171</v>
      </c>
      <c r="D519" s="49" t="s">
        <v>246</v>
      </c>
      <c r="E519" s="49" t="s">
        <v>416</v>
      </c>
      <c r="F519" s="51"/>
      <c r="G519" s="71"/>
      <c r="H519" s="71"/>
      <c r="I519" s="71"/>
      <c r="J519" s="71"/>
      <c r="K519" s="173"/>
      <c r="L519" s="173"/>
      <c r="M519" s="173"/>
      <c r="N519" s="173">
        <f>N520</f>
        <v>0</v>
      </c>
      <c r="O519" s="71">
        <f>O520</f>
        <v>825</v>
      </c>
      <c r="P519" s="370">
        <f>P520</f>
        <v>830</v>
      </c>
      <c r="Q519" s="371">
        <f>Q520</f>
        <v>920</v>
      </c>
    </row>
    <row r="520" spans="1:17" ht="16.5" customHeight="1">
      <c r="A520" s="271" t="s">
        <v>80</v>
      </c>
      <c r="B520" s="143" t="s">
        <v>134</v>
      </c>
      <c r="C520" s="56" t="s">
        <v>171</v>
      </c>
      <c r="D520" s="56" t="s">
        <v>246</v>
      </c>
      <c r="E520" s="56" t="s">
        <v>416</v>
      </c>
      <c r="F520" s="58" t="s">
        <v>77</v>
      </c>
      <c r="G520" s="136">
        <f aca="true" t="shared" si="86" ref="G520:Q520">G521</f>
        <v>480</v>
      </c>
      <c r="H520" s="136">
        <f t="shared" si="86"/>
        <v>0</v>
      </c>
      <c r="I520" s="136">
        <f t="shared" si="86"/>
        <v>0</v>
      </c>
      <c r="J520" s="136">
        <f t="shared" si="86"/>
        <v>-10.092</v>
      </c>
      <c r="K520" s="111">
        <f t="shared" si="86"/>
        <v>469.908</v>
      </c>
      <c r="L520" s="111">
        <f t="shared" si="86"/>
        <v>200</v>
      </c>
      <c r="M520" s="111">
        <f t="shared" si="86"/>
        <v>374.341</v>
      </c>
      <c r="N520" s="111">
        <f t="shared" si="86"/>
        <v>0</v>
      </c>
      <c r="O520" s="136">
        <f t="shared" si="86"/>
        <v>825</v>
      </c>
      <c r="P520" s="398">
        <f t="shared" si="86"/>
        <v>830</v>
      </c>
      <c r="Q520" s="399">
        <f t="shared" si="86"/>
        <v>920</v>
      </c>
    </row>
    <row r="521" spans="1:17" ht="16.5" customHeight="1" hidden="1">
      <c r="A521" s="288"/>
      <c r="B521" s="48"/>
      <c r="C521" s="53"/>
      <c r="D521" s="53"/>
      <c r="E521" s="53"/>
      <c r="F521" s="55" t="s">
        <v>167</v>
      </c>
      <c r="G521" s="65">
        <v>480</v>
      </c>
      <c r="H521" s="59"/>
      <c r="I521" s="59"/>
      <c r="J521" s="65">
        <v>-10.092</v>
      </c>
      <c r="K521" s="164">
        <v>469.908</v>
      </c>
      <c r="L521" s="189">
        <v>200</v>
      </c>
      <c r="M521" s="59">
        <f>109.4+264.941</f>
        <v>374.341</v>
      </c>
      <c r="N521" s="65"/>
      <c r="O521" s="65">
        <v>825</v>
      </c>
      <c r="P521" s="374">
        <v>830</v>
      </c>
      <c r="Q521" s="375">
        <v>920</v>
      </c>
    </row>
    <row r="522" spans="1:17" ht="12.75">
      <c r="A522" s="286" t="s">
        <v>609</v>
      </c>
      <c r="B522" s="48" t="s">
        <v>134</v>
      </c>
      <c r="C522" s="49" t="s">
        <v>171</v>
      </c>
      <c r="D522" s="49" t="s">
        <v>246</v>
      </c>
      <c r="E522" s="49" t="s">
        <v>430</v>
      </c>
      <c r="F522" s="51"/>
      <c r="G522" s="71">
        <f>G523</f>
        <v>273</v>
      </c>
      <c r="H522" s="52">
        <f>H523</f>
        <v>0</v>
      </c>
      <c r="I522" s="52">
        <f>I523</f>
        <v>0</v>
      </c>
      <c r="J522" s="71">
        <f>J523</f>
        <v>0</v>
      </c>
      <c r="K522" s="173">
        <f aca="true" t="shared" si="87" ref="K522:Q522">K524</f>
        <v>273</v>
      </c>
      <c r="L522" s="173">
        <f t="shared" si="87"/>
        <v>0</v>
      </c>
      <c r="M522" s="173">
        <f t="shared" si="87"/>
        <v>0</v>
      </c>
      <c r="N522" s="173">
        <f t="shared" si="87"/>
        <v>0</v>
      </c>
      <c r="O522" s="71">
        <f t="shared" si="87"/>
        <v>700</v>
      </c>
      <c r="P522" s="370">
        <f t="shared" si="87"/>
        <v>738</v>
      </c>
      <c r="Q522" s="371">
        <f t="shared" si="87"/>
        <v>781</v>
      </c>
    </row>
    <row r="523" spans="1:17" ht="12.75" hidden="1">
      <c r="A523" s="286" t="s">
        <v>139</v>
      </c>
      <c r="B523" s="48" t="s">
        <v>134</v>
      </c>
      <c r="C523" s="49" t="s">
        <v>171</v>
      </c>
      <c r="D523" s="49" t="s">
        <v>246</v>
      </c>
      <c r="E523" s="49" t="s">
        <v>267</v>
      </c>
      <c r="F523" s="51" t="s">
        <v>140</v>
      </c>
      <c r="G523" s="65">
        <f>G524</f>
        <v>273</v>
      </c>
      <c r="H523" s="59">
        <f>H524+H525+H526+H527</f>
        <v>0</v>
      </c>
      <c r="I523" s="59">
        <f>I524+I525+I526+I527</f>
        <v>0</v>
      </c>
      <c r="J523" s="65">
        <f>J524</f>
        <v>0</v>
      </c>
      <c r="K523" s="164">
        <f>K524</f>
        <v>273</v>
      </c>
      <c r="L523" s="189"/>
      <c r="M523" s="59"/>
      <c r="N523" s="65"/>
      <c r="O523" s="65"/>
      <c r="P523" s="374"/>
      <c r="Q523" s="375"/>
    </row>
    <row r="524" spans="1:17" ht="16.5" customHeight="1">
      <c r="A524" s="271" t="s">
        <v>80</v>
      </c>
      <c r="B524" s="99" t="s">
        <v>134</v>
      </c>
      <c r="C524" s="53" t="s">
        <v>171</v>
      </c>
      <c r="D524" s="53" t="s">
        <v>246</v>
      </c>
      <c r="E524" s="53" t="s">
        <v>430</v>
      </c>
      <c r="F524" s="55" t="s">
        <v>77</v>
      </c>
      <c r="G524" s="65">
        <f>G525</f>
        <v>273</v>
      </c>
      <c r="H524" s="59"/>
      <c r="I524" s="59"/>
      <c r="J524" s="65"/>
      <c r="K524" s="164">
        <v>273</v>
      </c>
      <c r="L524" s="189"/>
      <c r="M524" s="59"/>
      <c r="N524" s="65"/>
      <c r="O524" s="65">
        <v>700</v>
      </c>
      <c r="P524" s="374">
        <v>738</v>
      </c>
      <c r="Q524" s="375">
        <v>781</v>
      </c>
    </row>
    <row r="525" spans="1:17" ht="1.5" customHeight="1" hidden="1">
      <c r="A525" s="286"/>
      <c r="B525" s="48"/>
      <c r="C525" s="49"/>
      <c r="D525" s="49"/>
      <c r="E525" s="49"/>
      <c r="F525" s="51" t="s">
        <v>167</v>
      </c>
      <c r="G525" s="65">
        <v>273</v>
      </c>
      <c r="H525" s="59"/>
      <c r="I525" s="59"/>
      <c r="J525" s="65">
        <v>273</v>
      </c>
      <c r="K525" s="164">
        <v>273</v>
      </c>
      <c r="L525" s="189"/>
      <c r="M525" s="59"/>
      <c r="N525" s="65"/>
      <c r="O525" s="65"/>
      <c r="P525" s="374"/>
      <c r="Q525" s="375"/>
    </row>
    <row r="526" spans="1:17" ht="12.75" hidden="1">
      <c r="A526" s="286"/>
      <c r="B526" s="48"/>
      <c r="C526" s="49"/>
      <c r="D526" s="49"/>
      <c r="E526" s="49"/>
      <c r="F526" s="51" t="s">
        <v>168</v>
      </c>
      <c r="G526" s="65"/>
      <c r="H526" s="59"/>
      <c r="I526" s="59"/>
      <c r="J526" s="65"/>
      <c r="K526" s="164"/>
      <c r="L526" s="189"/>
      <c r="M526" s="59"/>
      <c r="N526" s="65"/>
      <c r="O526" s="65"/>
      <c r="P526" s="374"/>
      <c r="Q526" s="375"/>
    </row>
    <row r="527" spans="1:17" ht="12.75" hidden="1">
      <c r="A527" s="286"/>
      <c r="B527" s="48"/>
      <c r="C527" s="49"/>
      <c r="D527" s="49"/>
      <c r="E527" s="49"/>
      <c r="F527" s="51" t="s">
        <v>170</v>
      </c>
      <c r="G527" s="65"/>
      <c r="H527" s="59"/>
      <c r="I527" s="59"/>
      <c r="J527" s="65"/>
      <c r="K527" s="164"/>
      <c r="L527" s="189"/>
      <c r="M527" s="59"/>
      <c r="N527" s="65"/>
      <c r="O527" s="65"/>
      <c r="P527" s="374"/>
      <c r="Q527" s="375"/>
    </row>
    <row r="528" spans="1:17" ht="16.5" customHeight="1">
      <c r="A528" s="286" t="s">
        <v>268</v>
      </c>
      <c r="B528" s="48" t="s">
        <v>134</v>
      </c>
      <c r="C528" s="49" t="s">
        <v>171</v>
      </c>
      <c r="D528" s="49" t="s">
        <v>246</v>
      </c>
      <c r="E528" s="49" t="s">
        <v>431</v>
      </c>
      <c r="F528" s="51"/>
      <c r="G528" s="71">
        <f aca="true" t="shared" si="88" ref="G528:K529">G529</f>
        <v>175</v>
      </c>
      <c r="H528" s="52">
        <f t="shared" si="88"/>
        <v>210</v>
      </c>
      <c r="I528" s="52">
        <f t="shared" si="88"/>
        <v>230</v>
      </c>
      <c r="J528" s="71">
        <f t="shared" si="88"/>
        <v>0</v>
      </c>
      <c r="K528" s="173">
        <f aca="true" t="shared" si="89" ref="K528:Q528">K530</f>
        <v>175</v>
      </c>
      <c r="L528" s="173">
        <f t="shared" si="89"/>
        <v>0</v>
      </c>
      <c r="M528" s="173">
        <f t="shared" si="89"/>
        <v>0</v>
      </c>
      <c r="N528" s="173">
        <f t="shared" si="89"/>
        <v>0</v>
      </c>
      <c r="O528" s="71">
        <f t="shared" si="89"/>
        <v>210</v>
      </c>
      <c r="P528" s="370">
        <f t="shared" si="89"/>
        <v>230</v>
      </c>
      <c r="Q528" s="371">
        <f t="shared" si="89"/>
        <v>250</v>
      </c>
    </row>
    <row r="529" spans="1:17" ht="0.75" customHeight="1" hidden="1">
      <c r="A529" s="286" t="s">
        <v>139</v>
      </c>
      <c r="B529" s="48" t="s">
        <v>134</v>
      </c>
      <c r="C529" s="49" t="s">
        <v>171</v>
      </c>
      <c r="D529" s="49" t="s">
        <v>246</v>
      </c>
      <c r="E529" s="49" t="s">
        <v>269</v>
      </c>
      <c r="F529" s="51" t="s">
        <v>140</v>
      </c>
      <c r="G529" s="65">
        <f t="shared" si="88"/>
        <v>175</v>
      </c>
      <c r="H529" s="59">
        <f t="shared" si="88"/>
        <v>210</v>
      </c>
      <c r="I529" s="59">
        <f t="shared" si="88"/>
        <v>230</v>
      </c>
      <c r="J529" s="65">
        <f t="shared" si="88"/>
        <v>0</v>
      </c>
      <c r="K529" s="164">
        <f t="shared" si="88"/>
        <v>175</v>
      </c>
      <c r="L529" s="189"/>
      <c r="M529" s="59"/>
      <c r="N529" s="65"/>
      <c r="O529" s="65"/>
      <c r="P529" s="374"/>
      <c r="Q529" s="375"/>
    </row>
    <row r="530" spans="1:17" ht="16.5" customHeight="1" thickBot="1">
      <c r="A530" s="271" t="s">
        <v>80</v>
      </c>
      <c r="B530" s="99" t="s">
        <v>134</v>
      </c>
      <c r="C530" s="53" t="s">
        <v>171</v>
      </c>
      <c r="D530" s="53" t="s">
        <v>246</v>
      </c>
      <c r="E530" s="53" t="s">
        <v>431</v>
      </c>
      <c r="F530" s="55" t="s">
        <v>77</v>
      </c>
      <c r="G530" s="65">
        <v>175</v>
      </c>
      <c r="H530" s="59">
        <v>210</v>
      </c>
      <c r="I530" s="59">
        <v>230</v>
      </c>
      <c r="J530" s="65"/>
      <c r="K530" s="164">
        <v>175</v>
      </c>
      <c r="L530" s="189"/>
      <c r="M530" s="59"/>
      <c r="N530" s="65"/>
      <c r="O530" s="65">
        <v>210</v>
      </c>
      <c r="P530" s="374">
        <v>230</v>
      </c>
      <c r="Q530" s="375">
        <v>250</v>
      </c>
    </row>
    <row r="531" spans="1:17" ht="16.5" customHeight="1" thickBot="1">
      <c r="A531" s="267" t="s">
        <v>108</v>
      </c>
      <c r="B531" s="118" t="s">
        <v>133</v>
      </c>
      <c r="C531" s="119" t="s">
        <v>180</v>
      </c>
      <c r="D531" s="119" t="s">
        <v>131</v>
      </c>
      <c r="E531" s="120"/>
      <c r="F531" s="121"/>
      <c r="G531" s="129" t="e">
        <f aca="true" t="shared" si="90" ref="G531:M531">G532+G568</f>
        <v>#REF!</v>
      </c>
      <c r="H531" s="122" t="e">
        <f t="shared" si="90"/>
        <v>#REF!</v>
      </c>
      <c r="I531" s="122" t="e">
        <f t="shared" si="90"/>
        <v>#REF!</v>
      </c>
      <c r="J531" s="129" t="e">
        <f t="shared" si="90"/>
        <v>#REF!</v>
      </c>
      <c r="K531" s="170" t="e">
        <f t="shared" si="90"/>
        <v>#REF!</v>
      </c>
      <c r="L531" s="170" t="e">
        <f t="shared" si="90"/>
        <v>#REF!</v>
      </c>
      <c r="M531" s="170" t="e">
        <f t="shared" si="90"/>
        <v>#REF!</v>
      </c>
      <c r="N531" s="170">
        <f>N532+N568</f>
        <v>0</v>
      </c>
      <c r="O531" s="129">
        <f>O532+O568</f>
        <v>63047.74</v>
      </c>
      <c r="P531" s="364">
        <f>P532+P568</f>
        <v>60701.66</v>
      </c>
      <c r="Q531" s="365">
        <f>Q532+Q568</f>
        <v>59948.77</v>
      </c>
    </row>
    <row r="532" spans="1:17" ht="16.5" customHeight="1" thickBot="1">
      <c r="A532" s="268" t="s">
        <v>270</v>
      </c>
      <c r="B532" s="16" t="s">
        <v>134</v>
      </c>
      <c r="C532" s="17" t="s">
        <v>180</v>
      </c>
      <c r="D532" s="17" t="s">
        <v>130</v>
      </c>
      <c r="E532" s="18"/>
      <c r="F532" s="19"/>
      <c r="G532" s="130">
        <f aca="true" t="shared" si="91" ref="G532:M532">G552+G566</f>
        <v>2000</v>
      </c>
      <c r="H532" s="20">
        <f t="shared" si="91"/>
        <v>1000</v>
      </c>
      <c r="I532" s="20">
        <f t="shared" si="91"/>
        <v>2000</v>
      </c>
      <c r="J532" s="130">
        <f t="shared" si="91"/>
        <v>-733</v>
      </c>
      <c r="K532" s="171">
        <f t="shared" si="91"/>
        <v>1267</v>
      </c>
      <c r="L532" s="171">
        <f t="shared" si="91"/>
        <v>-1167</v>
      </c>
      <c r="M532" s="171">
        <f t="shared" si="91"/>
        <v>1245.35</v>
      </c>
      <c r="N532" s="171">
        <f>N552</f>
        <v>0</v>
      </c>
      <c r="O532" s="130">
        <f>O552</f>
        <v>3680</v>
      </c>
      <c r="P532" s="366">
        <f>P552</f>
        <v>3220</v>
      </c>
      <c r="Q532" s="367">
        <f>Q552</f>
        <v>2550</v>
      </c>
    </row>
    <row r="533" spans="1:17" ht="51.75" hidden="1" thickBot="1">
      <c r="A533" s="283" t="s">
        <v>271</v>
      </c>
      <c r="B533" s="73" t="s">
        <v>134</v>
      </c>
      <c r="C533" s="81" t="s">
        <v>180</v>
      </c>
      <c r="D533" s="81" t="s">
        <v>130</v>
      </c>
      <c r="E533" s="82" t="s">
        <v>272</v>
      </c>
      <c r="F533" s="77" t="s">
        <v>133</v>
      </c>
      <c r="G533" s="64">
        <f>G534+G538</f>
        <v>0</v>
      </c>
      <c r="H533" s="37">
        <f>H534+H538</f>
        <v>0</v>
      </c>
      <c r="I533" s="37">
        <f>I534+I538</f>
        <v>0</v>
      </c>
      <c r="J533" s="64">
        <f>J534+J538</f>
        <v>0</v>
      </c>
      <c r="K533" s="176">
        <f>K534+K538</f>
        <v>0</v>
      </c>
      <c r="L533" s="187"/>
      <c r="M533" s="52"/>
      <c r="N533" s="71"/>
      <c r="O533" s="71"/>
      <c r="P533" s="370"/>
      <c r="Q533" s="371"/>
    </row>
    <row r="534" spans="1:17" ht="13.5" hidden="1" thickBot="1">
      <c r="A534" s="288" t="s">
        <v>141</v>
      </c>
      <c r="B534" s="48" t="s">
        <v>134</v>
      </c>
      <c r="C534" s="49" t="s">
        <v>180</v>
      </c>
      <c r="D534" s="49" t="s">
        <v>130</v>
      </c>
      <c r="E534" s="50" t="s">
        <v>272</v>
      </c>
      <c r="F534" s="51" t="s">
        <v>133</v>
      </c>
      <c r="G534" s="71">
        <f aca="true" t="shared" si="92" ref="G534:K535">G535</f>
        <v>0</v>
      </c>
      <c r="H534" s="52">
        <f t="shared" si="92"/>
        <v>0</v>
      </c>
      <c r="I534" s="52">
        <f t="shared" si="92"/>
        <v>0</v>
      </c>
      <c r="J534" s="71">
        <f t="shared" si="92"/>
        <v>0</v>
      </c>
      <c r="K534" s="173">
        <f t="shared" si="92"/>
        <v>0</v>
      </c>
      <c r="L534" s="187"/>
      <c r="M534" s="52"/>
      <c r="N534" s="71"/>
      <c r="O534" s="71"/>
      <c r="P534" s="370"/>
      <c r="Q534" s="371"/>
    </row>
    <row r="535" spans="1:17" ht="13.5" hidden="1" thickBot="1">
      <c r="A535" s="270" t="s">
        <v>153</v>
      </c>
      <c r="B535" s="48" t="s">
        <v>134</v>
      </c>
      <c r="C535" s="49" t="s">
        <v>180</v>
      </c>
      <c r="D535" s="49" t="s">
        <v>130</v>
      </c>
      <c r="E535" s="50" t="s">
        <v>272</v>
      </c>
      <c r="F535" s="51" t="s">
        <v>133</v>
      </c>
      <c r="G535" s="71">
        <f t="shared" si="92"/>
        <v>0</v>
      </c>
      <c r="H535" s="52">
        <f t="shared" si="92"/>
        <v>0</v>
      </c>
      <c r="I535" s="52">
        <f t="shared" si="92"/>
        <v>0</v>
      </c>
      <c r="J535" s="71">
        <f t="shared" si="92"/>
        <v>0</v>
      </c>
      <c r="K535" s="173">
        <f t="shared" si="92"/>
        <v>0</v>
      </c>
      <c r="L535" s="187"/>
      <c r="M535" s="52"/>
      <c r="N535" s="71"/>
      <c r="O535" s="71"/>
      <c r="P535" s="370"/>
      <c r="Q535" s="371"/>
    </row>
    <row r="536" spans="1:17" ht="13.5" hidden="1" thickBot="1">
      <c r="A536" s="270" t="s">
        <v>264</v>
      </c>
      <c r="B536" s="48" t="s">
        <v>134</v>
      </c>
      <c r="C536" s="49" t="s">
        <v>180</v>
      </c>
      <c r="D536" s="49" t="s">
        <v>130</v>
      </c>
      <c r="E536" s="50" t="s">
        <v>272</v>
      </c>
      <c r="F536" s="51" t="s">
        <v>133</v>
      </c>
      <c r="G536" s="71"/>
      <c r="H536" s="52"/>
      <c r="I536" s="52"/>
      <c r="J536" s="71"/>
      <c r="K536" s="173"/>
      <c r="L536" s="187"/>
      <c r="M536" s="52"/>
      <c r="N536" s="71"/>
      <c r="O536" s="71"/>
      <c r="P536" s="370"/>
      <c r="Q536" s="371"/>
    </row>
    <row r="537" spans="1:17" ht="10.5" customHeight="1" hidden="1">
      <c r="A537" s="298" t="s">
        <v>273</v>
      </c>
      <c r="B537" s="48" t="s">
        <v>134</v>
      </c>
      <c r="C537" s="49" t="s">
        <v>180</v>
      </c>
      <c r="D537" s="49" t="s">
        <v>130</v>
      </c>
      <c r="E537" s="50" t="s">
        <v>272</v>
      </c>
      <c r="F537" s="51" t="s">
        <v>133</v>
      </c>
      <c r="G537" s="71"/>
      <c r="H537" s="52"/>
      <c r="I537" s="52"/>
      <c r="J537" s="71"/>
      <c r="K537" s="173"/>
      <c r="L537" s="187"/>
      <c r="M537" s="52"/>
      <c r="N537" s="71"/>
      <c r="O537" s="71"/>
      <c r="P537" s="370"/>
      <c r="Q537" s="371"/>
    </row>
    <row r="538" spans="1:17" ht="13.5" hidden="1" thickBot="1">
      <c r="A538" s="270" t="s">
        <v>159</v>
      </c>
      <c r="B538" s="48" t="s">
        <v>134</v>
      </c>
      <c r="C538" s="49" t="s">
        <v>180</v>
      </c>
      <c r="D538" s="49" t="s">
        <v>130</v>
      </c>
      <c r="E538" s="50" t="s">
        <v>272</v>
      </c>
      <c r="F538" s="51" t="s">
        <v>274</v>
      </c>
      <c r="G538" s="71">
        <f>G539</f>
        <v>0</v>
      </c>
      <c r="H538" s="52">
        <f>H539</f>
        <v>0</v>
      </c>
      <c r="I538" s="52">
        <f>I539</f>
        <v>0</v>
      </c>
      <c r="J538" s="71">
        <f>J539</f>
        <v>0</v>
      </c>
      <c r="K538" s="173">
        <f>K539</f>
        <v>0</v>
      </c>
      <c r="L538" s="187"/>
      <c r="M538" s="52"/>
      <c r="N538" s="71"/>
      <c r="O538" s="71"/>
      <c r="P538" s="370"/>
      <c r="Q538" s="371"/>
    </row>
    <row r="539" spans="1:17" ht="13.5" customHeight="1" hidden="1">
      <c r="A539" s="270" t="s">
        <v>160</v>
      </c>
      <c r="B539" s="48" t="s">
        <v>134</v>
      </c>
      <c r="C539" s="49" t="s">
        <v>180</v>
      </c>
      <c r="D539" s="49" t="s">
        <v>130</v>
      </c>
      <c r="E539" s="50" t="s">
        <v>272</v>
      </c>
      <c r="F539" s="51" t="s">
        <v>274</v>
      </c>
      <c r="G539" s="71"/>
      <c r="H539" s="52"/>
      <c r="I539" s="52"/>
      <c r="J539" s="71"/>
      <c r="K539" s="173"/>
      <c r="L539" s="187"/>
      <c r="M539" s="52"/>
      <c r="N539" s="71"/>
      <c r="O539" s="71"/>
      <c r="P539" s="370"/>
      <c r="Q539" s="371"/>
    </row>
    <row r="540" spans="1:17" ht="13.5" hidden="1" thickBot="1">
      <c r="A540" s="270"/>
      <c r="B540" s="48"/>
      <c r="C540" s="49"/>
      <c r="D540" s="49"/>
      <c r="E540" s="50"/>
      <c r="F540" s="51"/>
      <c r="G540" s="71"/>
      <c r="H540" s="52"/>
      <c r="I540" s="52"/>
      <c r="J540" s="71"/>
      <c r="K540" s="173"/>
      <c r="L540" s="187"/>
      <c r="M540" s="52"/>
      <c r="N540" s="71"/>
      <c r="O540" s="71"/>
      <c r="P540" s="370"/>
      <c r="Q540" s="371"/>
    </row>
    <row r="541" spans="1:17" ht="39" hidden="1" thickBot="1">
      <c r="A541" s="270" t="s">
        <v>275</v>
      </c>
      <c r="B541" s="48" t="s">
        <v>134</v>
      </c>
      <c r="C541" s="49" t="s">
        <v>180</v>
      </c>
      <c r="D541" s="49" t="s">
        <v>130</v>
      </c>
      <c r="E541" s="50" t="s">
        <v>276</v>
      </c>
      <c r="F541" s="51" t="s">
        <v>133</v>
      </c>
      <c r="G541" s="71">
        <f aca="true" t="shared" si="93" ref="G541:K543">G542</f>
        <v>0</v>
      </c>
      <c r="H541" s="52">
        <f t="shared" si="93"/>
        <v>0</v>
      </c>
      <c r="I541" s="52">
        <f t="shared" si="93"/>
        <v>0</v>
      </c>
      <c r="J541" s="71">
        <f t="shared" si="93"/>
        <v>0</v>
      </c>
      <c r="K541" s="173">
        <f t="shared" si="93"/>
        <v>0</v>
      </c>
      <c r="L541" s="187"/>
      <c r="M541" s="52"/>
      <c r="N541" s="71"/>
      <c r="O541" s="71"/>
      <c r="P541" s="370"/>
      <c r="Q541" s="371"/>
    </row>
    <row r="542" spans="1:17" ht="13.5" hidden="1" thickBot="1">
      <c r="A542" s="270" t="s">
        <v>277</v>
      </c>
      <c r="B542" s="48" t="s">
        <v>134</v>
      </c>
      <c r="C542" s="49" t="s">
        <v>180</v>
      </c>
      <c r="D542" s="49" t="s">
        <v>130</v>
      </c>
      <c r="E542" s="50" t="s">
        <v>276</v>
      </c>
      <c r="F542" s="51" t="s">
        <v>133</v>
      </c>
      <c r="G542" s="71">
        <f t="shared" si="93"/>
        <v>0</v>
      </c>
      <c r="H542" s="52">
        <f t="shared" si="93"/>
        <v>0</v>
      </c>
      <c r="I542" s="52">
        <f t="shared" si="93"/>
        <v>0</v>
      </c>
      <c r="J542" s="71">
        <f t="shared" si="93"/>
        <v>0</v>
      </c>
      <c r="K542" s="173">
        <f t="shared" si="93"/>
        <v>0</v>
      </c>
      <c r="L542" s="187"/>
      <c r="M542" s="52"/>
      <c r="N542" s="71"/>
      <c r="O542" s="71"/>
      <c r="P542" s="370"/>
      <c r="Q542" s="371"/>
    </row>
    <row r="543" spans="1:17" ht="13.5" hidden="1" thickBot="1">
      <c r="A543" s="270" t="s">
        <v>159</v>
      </c>
      <c r="B543" s="48" t="s">
        <v>134</v>
      </c>
      <c r="C543" s="49" t="s">
        <v>180</v>
      </c>
      <c r="D543" s="49" t="s">
        <v>130</v>
      </c>
      <c r="E543" s="50" t="s">
        <v>276</v>
      </c>
      <c r="F543" s="51" t="s">
        <v>274</v>
      </c>
      <c r="G543" s="71">
        <f t="shared" si="93"/>
        <v>0</v>
      </c>
      <c r="H543" s="52">
        <f t="shared" si="93"/>
        <v>0</v>
      </c>
      <c r="I543" s="52">
        <f t="shared" si="93"/>
        <v>0</v>
      </c>
      <c r="J543" s="71">
        <f t="shared" si="93"/>
        <v>0</v>
      </c>
      <c r="K543" s="173">
        <f t="shared" si="93"/>
        <v>0</v>
      </c>
      <c r="L543" s="187"/>
      <c r="M543" s="52"/>
      <c r="N543" s="71"/>
      <c r="O543" s="71"/>
      <c r="P543" s="370"/>
      <c r="Q543" s="371"/>
    </row>
    <row r="544" spans="1:17" ht="13.5" hidden="1" thickBot="1">
      <c r="A544" s="270" t="s">
        <v>160</v>
      </c>
      <c r="B544" s="48" t="s">
        <v>134</v>
      </c>
      <c r="C544" s="49" t="s">
        <v>180</v>
      </c>
      <c r="D544" s="49" t="s">
        <v>130</v>
      </c>
      <c r="E544" s="50" t="s">
        <v>276</v>
      </c>
      <c r="F544" s="51" t="s">
        <v>274</v>
      </c>
      <c r="G544" s="71"/>
      <c r="H544" s="52"/>
      <c r="I544" s="52"/>
      <c r="J544" s="71"/>
      <c r="K544" s="173"/>
      <c r="L544" s="187"/>
      <c r="M544" s="52"/>
      <c r="N544" s="71"/>
      <c r="O544" s="71"/>
      <c r="P544" s="370"/>
      <c r="Q544" s="371"/>
    </row>
    <row r="545" spans="1:17" ht="52.5" customHeight="1" hidden="1">
      <c r="A545" s="293" t="s">
        <v>278</v>
      </c>
      <c r="B545" s="48" t="s">
        <v>134</v>
      </c>
      <c r="C545" s="49" t="s">
        <v>180</v>
      </c>
      <c r="D545" s="49" t="s">
        <v>130</v>
      </c>
      <c r="E545" s="50" t="s">
        <v>276</v>
      </c>
      <c r="F545" s="51" t="s">
        <v>133</v>
      </c>
      <c r="G545" s="71">
        <f>G550</f>
        <v>0</v>
      </c>
      <c r="H545" s="52">
        <f>H550</f>
        <v>0</v>
      </c>
      <c r="I545" s="52">
        <f>I550</f>
        <v>0</v>
      </c>
      <c r="J545" s="71">
        <f>J550</f>
        <v>0</v>
      </c>
      <c r="K545" s="173">
        <f>K550</f>
        <v>0</v>
      </c>
      <c r="L545" s="187"/>
      <c r="M545" s="52"/>
      <c r="N545" s="71"/>
      <c r="O545" s="71"/>
      <c r="P545" s="370"/>
      <c r="Q545" s="371"/>
    </row>
    <row r="546" spans="1:17" ht="13.5" hidden="1" thickBot="1">
      <c r="A546" s="270"/>
      <c r="B546" s="48" t="s">
        <v>134</v>
      </c>
      <c r="C546" s="49" t="s">
        <v>180</v>
      </c>
      <c r="D546" s="49" t="s">
        <v>130</v>
      </c>
      <c r="E546" s="50" t="s">
        <v>276</v>
      </c>
      <c r="F546" s="51" t="s">
        <v>133</v>
      </c>
      <c r="G546" s="71"/>
      <c r="H546" s="52"/>
      <c r="I546" s="52"/>
      <c r="J546" s="71"/>
      <c r="K546" s="173"/>
      <c r="L546" s="187"/>
      <c r="M546" s="52"/>
      <c r="N546" s="71"/>
      <c r="O546" s="71"/>
      <c r="P546" s="370"/>
      <c r="Q546" s="371"/>
    </row>
    <row r="547" spans="1:17" ht="13.5" hidden="1" thickBot="1">
      <c r="A547" s="270"/>
      <c r="B547" s="48" t="s">
        <v>134</v>
      </c>
      <c r="C547" s="49" t="s">
        <v>180</v>
      </c>
      <c r="D547" s="49" t="s">
        <v>130</v>
      </c>
      <c r="E547" s="50" t="s">
        <v>276</v>
      </c>
      <c r="F547" s="51" t="s">
        <v>274</v>
      </c>
      <c r="G547" s="71"/>
      <c r="H547" s="52"/>
      <c r="I547" s="52"/>
      <c r="J547" s="71"/>
      <c r="K547" s="173"/>
      <c r="L547" s="187"/>
      <c r="M547" s="52"/>
      <c r="N547" s="71"/>
      <c r="O547" s="71"/>
      <c r="P547" s="370"/>
      <c r="Q547" s="371"/>
    </row>
    <row r="548" spans="1:17" ht="13.5" hidden="1" thickBot="1">
      <c r="A548" s="270"/>
      <c r="B548" s="48" t="s">
        <v>134</v>
      </c>
      <c r="C548" s="49" t="s">
        <v>180</v>
      </c>
      <c r="D548" s="49" t="s">
        <v>130</v>
      </c>
      <c r="E548" s="50" t="s">
        <v>276</v>
      </c>
      <c r="F548" s="51" t="s">
        <v>274</v>
      </c>
      <c r="G548" s="71"/>
      <c r="H548" s="52"/>
      <c r="I548" s="52"/>
      <c r="J548" s="71"/>
      <c r="K548" s="173"/>
      <c r="L548" s="187"/>
      <c r="M548" s="52"/>
      <c r="N548" s="71"/>
      <c r="O548" s="71"/>
      <c r="P548" s="370"/>
      <c r="Q548" s="371"/>
    </row>
    <row r="549" spans="1:17" ht="13.5" hidden="1" thickBot="1">
      <c r="A549" s="270"/>
      <c r="B549" s="48" t="s">
        <v>134</v>
      </c>
      <c r="C549" s="49" t="s">
        <v>180</v>
      </c>
      <c r="D549" s="49" t="s">
        <v>130</v>
      </c>
      <c r="E549" s="50" t="s">
        <v>276</v>
      </c>
      <c r="F549" s="51" t="s">
        <v>274</v>
      </c>
      <c r="G549" s="71"/>
      <c r="H549" s="52"/>
      <c r="I549" s="52"/>
      <c r="J549" s="71"/>
      <c r="K549" s="173"/>
      <c r="L549" s="187"/>
      <c r="M549" s="52"/>
      <c r="N549" s="71"/>
      <c r="O549" s="71"/>
      <c r="P549" s="370"/>
      <c r="Q549" s="371"/>
    </row>
    <row r="550" spans="1:17" ht="13.5" hidden="1" thickBot="1">
      <c r="A550" s="270" t="s">
        <v>159</v>
      </c>
      <c r="B550" s="48" t="s">
        <v>134</v>
      </c>
      <c r="C550" s="49" t="s">
        <v>180</v>
      </c>
      <c r="D550" s="49" t="s">
        <v>130</v>
      </c>
      <c r="E550" s="50" t="s">
        <v>276</v>
      </c>
      <c r="F550" s="51" t="s">
        <v>274</v>
      </c>
      <c r="G550" s="71">
        <f>G551</f>
        <v>0</v>
      </c>
      <c r="H550" s="52">
        <f>H551</f>
        <v>0</v>
      </c>
      <c r="I550" s="52">
        <f>I551</f>
        <v>0</v>
      </c>
      <c r="J550" s="71">
        <f>J551</f>
        <v>0</v>
      </c>
      <c r="K550" s="173">
        <f>K551</f>
        <v>0</v>
      </c>
      <c r="L550" s="187"/>
      <c r="M550" s="52"/>
      <c r="N550" s="71"/>
      <c r="O550" s="71"/>
      <c r="P550" s="370"/>
      <c r="Q550" s="371"/>
    </row>
    <row r="551" spans="1:17" ht="13.5" hidden="1" thickBot="1">
      <c r="A551" s="281" t="s">
        <v>160</v>
      </c>
      <c r="B551" s="66" t="s">
        <v>134</v>
      </c>
      <c r="C551" s="92" t="s">
        <v>180</v>
      </c>
      <c r="D551" s="92" t="s">
        <v>130</v>
      </c>
      <c r="E551" s="93" t="s">
        <v>276</v>
      </c>
      <c r="F551" s="94" t="s">
        <v>274</v>
      </c>
      <c r="G551" s="134"/>
      <c r="H551" s="89"/>
      <c r="I551" s="89"/>
      <c r="J551" s="134"/>
      <c r="K551" s="161"/>
      <c r="L551" s="187"/>
      <c r="M551" s="52"/>
      <c r="N551" s="71"/>
      <c r="O551" s="71"/>
      <c r="P551" s="370"/>
      <c r="Q551" s="371"/>
    </row>
    <row r="552" spans="1:17" ht="16.5" customHeight="1">
      <c r="A552" s="269" t="s">
        <v>402</v>
      </c>
      <c r="B552" s="43" t="s">
        <v>134</v>
      </c>
      <c r="C552" s="44" t="s">
        <v>180</v>
      </c>
      <c r="D552" s="44" t="s">
        <v>130</v>
      </c>
      <c r="E552" s="44" t="s">
        <v>219</v>
      </c>
      <c r="F552" s="46"/>
      <c r="G552" s="131">
        <f aca="true" t="shared" si="94" ref="G552:M552">G562</f>
        <v>1000</v>
      </c>
      <c r="H552" s="47">
        <f t="shared" si="94"/>
        <v>1000</v>
      </c>
      <c r="I552" s="47">
        <f t="shared" si="94"/>
        <v>2000</v>
      </c>
      <c r="J552" s="131">
        <f t="shared" si="94"/>
        <v>267</v>
      </c>
      <c r="K552" s="172">
        <f t="shared" si="94"/>
        <v>1267</v>
      </c>
      <c r="L552" s="172">
        <f t="shared" si="94"/>
        <v>-1167</v>
      </c>
      <c r="M552" s="172">
        <f t="shared" si="94"/>
        <v>1245.35</v>
      </c>
      <c r="N552" s="172">
        <f>N561</f>
        <v>0</v>
      </c>
      <c r="O552" s="131">
        <f>O561</f>
        <v>3680</v>
      </c>
      <c r="P552" s="368">
        <f>P561</f>
        <v>3220</v>
      </c>
      <c r="Q552" s="369">
        <f>Q561</f>
        <v>2550</v>
      </c>
    </row>
    <row r="553" spans="1:17" ht="12.75" hidden="1">
      <c r="A553" s="275" t="s">
        <v>139</v>
      </c>
      <c r="B553" s="48" t="s">
        <v>134</v>
      </c>
      <c r="C553" s="53" t="s">
        <v>180</v>
      </c>
      <c r="D553" s="53" t="s">
        <v>130</v>
      </c>
      <c r="E553" s="53" t="s">
        <v>219</v>
      </c>
      <c r="F553" s="55" t="s">
        <v>140</v>
      </c>
      <c r="G553" s="71">
        <f>G554+G563</f>
        <v>1000</v>
      </c>
      <c r="H553" s="52">
        <f>H554+H563</f>
        <v>1000</v>
      </c>
      <c r="I553" s="52">
        <f>I554+I563</f>
        <v>2000</v>
      </c>
      <c r="J553" s="71">
        <f>J554+J563</f>
        <v>267</v>
      </c>
      <c r="K553" s="173">
        <f>K554+K563</f>
        <v>1267</v>
      </c>
      <c r="L553" s="187"/>
      <c r="M553" s="52"/>
      <c r="N553" s="71"/>
      <c r="O553" s="71"/>
      <c r="P553" s="370"/>
      <c r="Q553" s="371"/>
    </row>
    <row r="554" spans="1:17" ht="12.75" hidden="1">
      <c r="A554" s="288" t="s">
        <v>141</v>
      </c>
      <c r="B554" s="48" t="s">
        <v>134</v>
      </c>
      <c r="C554" s="53" t="s">
        <v>180</v>
      </c>
      <c r="D554" s="53" t="s">
        <v>130</v>
      </c>
      <c r="E554" s="53" t="s">
        <v>219</v>
      </c>
      <c r="F554" s="55" t="s">
        <v>140</v>
      </c>
      <c r="G554" s="71">
        <f>G555</f>
        <v>0</v>
      </c>
      <c r="H554" s="52">
        <f>H555</f>
        <v>0</v>
      </c>
      <c r="I554" s="52">
        <f>I555</f>
        <v>0</v>
      </c>
      <c r="J554" s="71">
        <f>J555</f>
        <v>0</v>
      </c>
      <c r="K554" s="173">
        <f>K555</f>
        <v>0</v>
      </c>
      <c r="L554" s="187"/>
      <c r="M554" s="52"/>
      <c r="N554" s="71"/>
      <c r="O554" s="71"/>
      <c r="P554" s="370"/>
      <c r="Q554" s="371"/>
    </row>
    <row r="555" spans="1:17" ht="12.75" hidden="1">
      <c r="A555" s="286" t="s">
        <v>234</v>
      </c>
      <c r="B555" s="48" t="s">
        <v>134</v>
      </c>
      <c r="C555" s="53" t="s">
        <v>180</v>
      </c>
      <c r="D555" s="53" t="s">
        <v>130</v>
      </c>
      <c r="E555" s="53" t="s">
        <v>219</v>
      </c>
      <c r="F555" s="55" t="s">
        <v>140</v>
      </c>
      <c r="G555" s="71">
        <f>SUM(G556:G557)</f>
        <v>0</v>
      </c>
      <c r="H555" s="52">
        <f>SUM(H556:H557)</f>
        <v>0</v>
      </c>
      <c r="I555" s="52">
        <f>SUM(I556:I557)</f>
        <v>0</v>
      </c>
      <c r="J555" s="71">
        <f>SUM(J556:J557)</f>
        <v>0</v>
      </c>
      <c r="K555" s="173">
        <f>SUM(K556:K557)</f>
        <v>0</v>
      </c>
      <c r="L555" s="187"/>
      <c r="M555" s="52"/>
      <c r="N555" s="71"/>
      <c r="O555" s="71"/>
      <c r="P555" s="370"/>
      <c r="Q555" s="371"/>
    </row>
    <row r="556" spans="1:17" ht="27" customHeight="1" hidden="1">
      <c r="A556" s="270" t="s">
        <v>279</v>
      </c>
      <c r="B556" s="48" t="s">
        <v>134</v>
      </c>
      <c r="C556" s="49" t="s">
        <v>180</v>
      </c>
      <c r="D556" s="49" t="s">
        <v>130</v>
      </c>
      <c r="E556" s="49" t="s">
        <v>280</v>
      </c>
      <c r="F556" s="51" t="s">
        <v>133</v>
      </c>
      <c r="G556" s="71">
        <f>G560</f>
        <v>0</v>
      </c>
      <c r="H556" s="52">
        <f>H560</f>
        <v>0</v>
      </c>
      <c r="I556" s="52">
        <f>I560</f>
        <v>0</v>
      </c>
      <c r="J556" s="71">
        <f>J560</f>
        <v>0</v>
      </c>
      <c r="K556" s="173">
        <f>K560</f>
        <v>0</v>
      </c>
      <c r="L556" s="187"/>
      <c r="M556" s="52"/>
      <c r="N556" s="71"/>
      <c r="O556" s="71"/>
      <c r="P556" s="370"/>
      <c r="Q556" s="371"/>
    </row>
    <row r="557" spans="1:17" ht="19.5" customHeight="1" hidden="1">
      <c r="A557" s="270" t="s">
        <v>281</v>
      </c>
      <c r="B557" s="48" t="s">
        <v>134</v>
      </c>
      <c r="C557" s="53" t="s">
        <v>180</v>
      </c>
      <c r="D557" s="53" t="s">
        <v>130</v>
      </c>
      <c r="E557" s="53" t="s">
        <v>219</v>
      </c>
      <c r="F557" s="55" t="s">
        <v>140</v>
      </c>
      <c r="G557" s="71"/>
      <c r="H557" s="52"/>
      <c r="I557" s="52"/>
      <c r="J557" s="71"/>
      <c r="K557" s="173"/>
      <c r="L557" s="187"/>
      <c r="M557" s="52"/>
      <c r="N557" s="71"/>
      <c r="O557" s="71"/>
      <c r="P557" s="370"/>
      <c r="Q557" s="371"/>
    </row>
    <row r="558" spans="1:17" ht="12.75" hidden="1">
      <c r="A558" s="270" t="s">
        <v>159</v>
      </c>
      <c r="B558" s="48" t="s">
        <v>134</v>
      </c>
      <c r="C558" s="53" t="s">
        <v>180</v>
      </c>
      <c r="D558" s="53" t="s">
        <v>130</v>
      </c>
      <c r="E558" s="53" t="s">
        <v>219</v>
      </c>
      <c r="F558" s="55" t="s">
        <v>140</v>
      </c>
      <c r="G558" s="71">
        <f>G559</f>
        <v>0</v>
      </c>
      <c r="H558" s="52">
        <f>H559</f>
        <v>0</v>
      </c>
      <c r="I558" s="52">
        <f>I559</f>
        <v>0</v>
      </c>
      <c r="J558" s="71">
        <f>J559</f>
        <v>0</v>
      </c>
      <c r="K558" s="173">
        <f>K559</f>
        <v>0</v>
      </c>
      <c r="L558" s="187"/>
      <c r="M558" s="52"/>
      <c r="N558" s="71"/>
      <c r="O558" s="71"/>
      <c r="P558" s="370"/>
      <c r="Q558" s="371"/>
    </row>
    <row r="559" spans="1:17" ht="14.25" customHeight="1" hidden="1">
      <c r="A559" s="270" t="s">
        <v>282</v>
      </c>
      <c r="B559" s="48" t="s">
        <v>134</v>
      </c>
      <c r="C559" s="53" t="s">
        <v>180</v>
      </c>
      <c r="D559" s="53" t="s">
        <v>130</v>
      </c>
      <c r="E559" s="53" t="s">
        <v>219</v>
      </c>
      <c r="F559" s="55" t="s">
        <v>140</v>
      </c>
      <c r="G559" s="71"/>
      <c r="H559" s="52"/>
      <c r="I559" s="52"/>
      <c r="J559" s="71"/>
      <c r="K559" s="173"/>
      <c r="L559" s="187"/>
      <c r="M559" s="52"/>
      <c r="N559" s="71"/>
      <c r="O559" s="71"/>
      <c r="P559" s="370"/>
      <c r="Q559" s="371"/>
    </row>
    <row r="560" spans="1:17" ht="12.75" hidden="1">
      <c r="A560" s="270" t="s">
        <v>139</v>
      </c>
      <c r="B560" s="48" t="s">
        <v>134</v>
      </c>
      <c r="C560" s="53" t="s">
        <v>180</v>
      </c>
      <c r="D560" s="53" t="s">
        <v>130</v>
      </c>
      <c r="E560" s="53" t="s">
        <v>280</v>
      </c>
      <c r="F560" s="55" t="s">
        <v>140</v>
      </c>
      <c r="G560" s="71">
        <f>3500/10-350</f>
        <v>0</v>
      </c>
      <c r="H560" s="52">
        <f>3500/10-350</f>
        <v>0</v>
      </c>
      <c r="I560" s="52">
        <f>3500/10-350</f>
        <v>0</v>
      </c>
      <c r="J560" s="71">
        <f>3500/10-350</f>
        <v>0</v>
      </c>
      <c r="K560" s="173">
        <f>3500/10-350</f>
        <v>0</v>
      </c>
      <c r="L560" s="187"/>
      <c r="M560" s="52"/>
      <c r="N560" s="71"/>
      <c r="O560" s="71"/>
      <c r="P560" s="370"/>
      <c r="Q560" s="371"/>
    </row>
    <row r="561" spans="1:17" ht="25.5">
      <c r="A561" s="270" t="s">
        <v>432</v>
      </c>
      <c r="B561" s="48" t="s">
        <v>134</v>
      </c>
      <c r="C561" s="49" t="s">
        <v>180</v>
      </c>
      <c r="D561" s="49" t="s">
        <v>130</v>
      </c>
      <c r="E561" s="49" t="s">
        <v>339</v>
      </c>
      <c r="F561" s="51"/>
      <c r="G561" s="71"/>
      <c r="H561" s="52"/>
      <c r="I561" s="52"/>
      <c r="J561" s="71"/>
      <c r="K561" s="173"/>
      <c r="L561" s="173"/>
      <c r="M561" s="173"/>
      <c r="N561" s="173">
        <f>N562+N566</f>
        <v>0</v>
      </c>
      <c r="O561" s="71">
        <f>O562+O566</f>
        <v>3680</v>
      </c>
      <c r="P561" s="370">
        <f>P562+P566</f>
        <v>3220</v>
      </c>
      <c r="Q561" s="371">
        <f>Q562+Q566</f>
        <v>2550</v>
      </c>
    </row>
    <row r="562" spans="1:17" ht="25.5">
      <c r="A562" s="270" t="s">
        <v>610</v>
      </c>
      <c r="B562" s="48" t="s">
        <v>134</v>
      </c>
      <c r="C562" s="49" t="s">
        <v>180</v>
      </c>
      <c r="D562" s="49" t="s">
        <v>130</v>
      </c>
      <c r="E562" s="49" t="s">
        <v>433</v>
      </c>
      <c r="F562" s="51"/>
      <c r="G562" s="71">
        <f aca="true" t="shared" si="95" ref="G562:J563">G563</f>
        <v>1000</v>
      </c>
      <c r="H562" s="52">
        <f t="shared" si="95"/>
        <v>1000</v>
      </c>
      <c r="I562" s="52">
        <f t="shared" si="95"/>
        <v>2000</v>
      </c>
      <c r="J562" s="71">
        <f t="shared" si="95"/>
        <v>267</v>
      </c>
      <c r="K562" s="173">
        <f aca="true" t="shared" si="96" ref="K562:Q562">K564</f>
        <v>1267</v>
      </c>
      <c r="L562" s="173">
        <f t="shared" si="96"/>
        <v>-1167</v>
      </c>
      <c r="M562" s="173">
        <f t="shared" si="96"/>
        <v>1245.35</v>
      </c>
      <c r="N562" s="173">
        <f t="shared" si="96"/>
        <v>0</v>
      </c>
      <c r="O562" s="71">
        <f t="shared" si="96"/>
        <v>2680</v>
      </c>
      <c r="P562" s="370">
        <f t="shared" si="96"/>
        <v>2220</v>
      </c>
      <c r="Q562" s="371">
        <f t="shared" si="96"/>
        <v>1550</v>
      </c>
    </row>
    <row r="563" spans="1:17" ht="12.75" hidden="1">
      <c r="A563" s="270" t="s">
        <v>139</v>
      </c>
      <c r="B563" s="48" t="s">
        <v>134</v>
      </c>
      <c r="C563" s="53" t="s">
        <v>180</v>
      </c>
      <c r="D563" s="53" t="s">
        <v>130</v>
      </c>
      <c r="E563" s="53" t="s">
        <v>284</v>
      </c>
      <c r="F563" s="55" t="s">
        <v>140</v>
      </c>
      <c r="G563" s="65">
        <f t="shared" si="95"/>
        <v>1000</v>
      </c>
      <c r="H563" s="59">
        <f t="shared" si="95"/>
        <v>1000</v>
      </c>
      <c r="I563" s="59">
        <f t="shared" si="95"/>
        <v>2000</v>
      </c>
      <c r="J563" s="65">
        <f t="shared" si="95"/>
        <v>267</v>
      </c>
      <c r="K563" s="164">
        <f>K564</f>
        <v>1267</v>
      </c>
      <c r="L563" s="189"/>
      <c r="M563" s="59"/>
      <c r="N563" s="65"/>
      <c r="O563" s="65"/>
      <c r="P563" s="374"/>
      <c r="Q563" s="375"/>
    </row>
    <row r="564" spans="1:17" ht="16.5" customHeight="1">
      <c r="A564" s="277" t="s">
        <v>80</v>
      </c>
      <c r="B564" s="99" t="s">
        <v>134</v>
      </c>
      <c r="C564" s="53" t="s">
        <v>180</v>
      </c>
      <c r="D564" s="53" t="s">
        <v>130</v>
      </c>
      <c r="E564" s="53" t="s">
        <v>433</v>
      </c>
      <c r="F564" s="55" t="s">
        <v>77</v>
      </c>
      <c r="G564" s="65">
        <f>G565</f>
        <v>1000</v>
      </c>
      <c r="H564" s="59">
        <f>H565</f>
        <v>1000</v>
      </c>
      <c r="I564" s="59">
        <f>I565</f>
        <v>2000</v>
      </c>
      <c r="J564" s="65">
        <f>-900+1167</f>
        <v>267</v>
      </c>
      <c r="K564" s="164">
        <v>1267</v>
      </c>
      <c r="L564" s="189">
        <v>-1167</v>
      </c>
      <c r="M564" s="59">
        <v>1245.35</v>
      </c>
      <c r="N564" s="65"/>
      <c r="O564" s="65">
        <v>2680</v>
      </c>
      <c r="P564" s="374">
        <v>2220</v>
      </c>
      <c r="Q564" s="375">
        <v>1550</v>
      </c>
    </row>
    <row r="565" spans="1:17" ht="16.5" customHeight="1" hidden="1" thickBot="1">
      <c r="A565" s="272"/>
      <c r="B565" s="26"/>
      <c r="C565" s="56"/>
      <c r="D565" s="56"/>
      <c r="E565" s="56"/>
      <c r="F565" s="58" t="s">
        <v>166</v>
      </c>
      <c r="G565" s="136">
        <v>1000</v>
      </c>
      <c r="H565" s="97">
        <v>1000</v>
      </c>
      <c r="I565" s="97">
        <v>2000</v>
      </c>
      <c r="J565" s="136">
        <v>1000</v>
      </c>
      <c r="K565" s="111">
        <v>1000</v>
      </c>
      <c r="L565" s="189"/>
      <c r="M565" s="59"/>
      <c r="N565" s="65"/>
      <c r="O565" s="65"/>
      <c r="P565" s="374"/>
      <c r="Q565" s="375"/>
    </row>
    <row r="566" spans="1:17" ht="25.5">
      <c r="A566" s="270" t="s">
        <v>611</v>
      </c>
      <c r="B566" s="48" t="s">
        <v>134</v>
      </c>
      <c r="C566" s="49" t="s">
        <v>180</v>
      </c>
      <c r="D566" s="49" t="s">
        <v>130</v>
      </c>
      <c r="E566" s="49" t="s">
        <v>434</v>
      </c>
      <c r="F566" s="51"/>
      <c r="G566" s="65">
        <f>G567</f>
        <v>1000</v>
      </c>
      <c r="H566" s="59">
        <f>H567</f>
        <v>0</v>
      </c>
      <c r="I566" s="59">
        <f>I567</f>
        <v>0</v>
      </c>
      <c r="J566" s="65">
        <f>J567</f>
        <v>-1000</v>
      </c>
      <c r="K566" s="164">
        <f>K567</f>
        <v>0</v>
      </c>
      <c r="L566" s="189"/>
      <c r="M566" s="59"/>
      <c r="N566" s="71">
        <f>N567</f>
        <v>0</v>
      </c>
      <c r="O566" s="71">
        <f>O567</f>
        <v>1000</v>
      </c>
      <c r="P566" s="370">
        <f>P567</f>
        <v>1000</v>
      </c>
      <c r="Q566" s="371">
        <f>Q567</f>
        <v>1000</v>
      </c>
    </row>
    <row r="567" spans="1:17" ht="16.5" customHeight="1" thickBot="1">
      <c r="A567" s="271" t="s">
        <v>80</v>
      </c>
      <c r="B567" s="105" t="s">
        <v>134</v>
      </c>
      <c r="C567" s="74" t="s">
        <v>180</v>
      </c>
      <c r="D567" s="74" t="s">
        <v>130</v>
      </c>
      <c r="E567" s="74" t="s">
        <v>434</v>
      </c>
      <c r="F567" s="75" t="s">
        <v>77</v>
      </c>
      <c r="G567" s="137">
        <v>1000</v>
      </c>
      <c r="H567" s="100"/>
      <c r="I567" s="100"/>
      <c r="J567" s="137">
        <v>-1000</v>
      </c>
      <c r="K567" s="163">
        <f>G567+J567</f>
        <v>0</v>
      </c>
      <c r="L567" s="189"/>
      <c r="M567" s="59"/>
      <c r="N567" s="65"/>
      <c r="O567" s="65">
        <v>1000</v>
      </c>
      <c r="P567" s="374">
        <v>1000</v>
      </c>
      <c r="Q567" s="375">
        <v>1000</v>
      </c>
    </row>
    <row r="568" spans="1:17" ht="16.5" customHeight="1" thickBot="1">
      <c r="A568" s="268" t="s">
        <v>285</v>
      </c>
      <c r="B568" s="16" t="s">
        <v>133</v>
      </c>
      <c r="C568" s="17" t="s">
        <v>180</v>
      </c>
      <c r="D568" s="17" t="s">
        <v>135</v>
      </c>
      <c r="E568" s="17"/>
      <c r="F568" s="19"/>
      <c r="G568" s="130" t="e">
        <f>G606+#REF!</f>
        <v>#REF!</v>
      </c>
      <c r="H568" s="130" t="e">
        <f>H606+#REF!</f>
        <v>#REF!</v>
      </c>
      <c r="I568" s="130" t="e">
        <f>I606+#REF!</f>
        <v>#REF!</v>
      </c>
      <c r="J568" s="130" t="e">
        <f>J606+#REF!</f>
        <v>#REF!</v>
      </c>
      <c r="K568" s="171" t="e">
        <f>K606+#REF!</f>
        <v>#REF!</v>
      </c>
      <c r="L568" s="171" t="e">
        <f>L606+#REF!</f>
        <v>#REF!</v>
      </c>
      <c r="M568" s="171" t="e">
        <f>M606+#REF!</f>
        <v>#REF!</v>
      </c>
      <c r="N568" s="171">
        <f>N606</f>
        <v>0</v>
      </c>
      <c r="O568" s="130">
        <f>O606</f>
        <v>59367.74</v>
      </c>
      <c r="P568" s="366">
        <f>P606</f>
        <v>57481.66</v>
      </c>
      <c r="Q568" s="367">
        <f>Q606</f>
        <v>57398.77</v>
      </c>
    </row>
    <row r="569" spans="1:17" ht="2.25" customHeight="1" hidden="1">
      <c r="A569" s="275" t="s">
        <v>188</v>
      </c>
      <c r="B569" s="73" t="s">
        <v>134</v>
      </c>
      <c r="C569" s="81" t="s">
        <v>180</v>
      </c>
      <c r="D569" s="81" t="s">
        <v>135</v>
      </c>
      <c r="E569" s="81" t="s">
        <v>189</v>
      </c>
      <c r="F569" s="77" t="s">
        <v>133</v>
      </c>
      <c r="G569" s="64">
        <f aca="true" t="shared" si="97" ref="G569:K573">G570</f>
        <v>0</v>
      </c>
      <c r="H569" s="37">
        <f t="shared" si="97"/>
        <v>0</v>
      </c>
      <c r="I569" s="37">
        <f t="shared" si="97"/>
        <v>0</v>
      </c>
      <c r="J569" s="64">
        <f t="shared" si="97"/>
        <v>0</v>
      </c>
      <c r="K569" s="176">
        <f t="shared" si="97"/>
        <v>0</v>
      </c>
      <c r="L569" s="187"/>
      <c r="M569" s="52"/>
      <c r="N569" s="71"/>
      <c r="O569" s="71"/>
      <c r="P569" s="370"/>
      <c r="Q569" s="371"/>
    </row>
    <row r="570" spans="1:17" ht="18.75" customHeight="1" hidden="1">
      <c r="A570" s="270" t="s">
        <v>286</v>
      </c>
      <c r="B570" s="48" t="s">
        <v>134</v>
      </c>
      <c r="C570" s="53" t="s">
        <v>180</v>
      </c>
      <c r="D570" s="53" t="s">
        <v>135</v>
      </c>
      <c r="E570" s="53" t="s">
        <v>287</v>
      </c>
      <c r="F570" s="55" t="s">
        <v>133</v>
      </c>
      <c r="G570" s="71">
        <f t="shared" si="97"/>
        <v>0</v>
      </c>
      <c r="H570" s="52">
        <f t="shared" si="97"/>
        <v>0</v>
      </c>
      <c r="I570" s="52">
        <f t="shared" si="97"/>
        <v>0</v>
      </c>
      <c r="J570" s="71">
        <f t="shared" si="97"/>
        <v>0</v>
      </c>
      <c r="K570" s="173">
        <f t="shared" si="97"/>
        <v>0</v>
      </c>
      <c r="L570" s="187"/>
      <c r="M570" s="52"/>
      <c r="N570" s="71"/>
      <c r="O570" s="71"/>
      <c r="P570" s="370"/>
      <c r="Q570" s="371"/>
    </row>
    <row r="571" spans="1:17" ht="13.5" hidden="1" thickBot="1">
      <c r="A571" s="270" t="s">
        <v>139</v>
      </c>
      <c r="B571" s="48" t="s">
        <v>134</v>
      </c>
      <c r="C571" s="53" t="s">
        <v>180</v>
      </c>
      <c r="D571" s="53" t="s">
        <v>135</v>
      </c>
      <c r="E571" s="53" t="s">
        <v>287</v>
      </c>
      <c r="F571" s="55" t="s">
        <v>140</v>
      </c>
      <c r="G571" s="71">
        <f t="shared" si="97"/>
        <v>0</v>
      </c>
      <c r="H571" s="52">
        <f t="shared" si="97"/>
        <v>0</v>
      </c>
      <c r="I571" s="52">
        <f t="shared" si="97"/>
        <v>0</v>
      </c>
      <c r="J571" s="71">
        <f t="shared" si="97"/>
        <v>0</v>
      </c>
      <c r="K571" s="173">
        <f t="shared" si="97"/>
        <v>0</v>
      </c>
      <c r="L571" s="187"/>
      <c r="M571" s="52"/>
      <c r="N571" s="71"/>
      <c r="O571" s="71"/>
      <c r="P571" s="370"/>
      <c r="Q571" s="371"/>
    </row>
    <row r="572" spans="1:17" ht="13.5" hidden="1" thickBot="1">
      <c r="A572" s="288" t="s">
        <v>141</v>
      </c>
      <c r="B572" s="48" t="s">
        <v>134</v>
      </c>
      <c r="C572" s="53" t="s">
        <v>180</v>
      </c>
      <c r="D572" s="53" t="s">
        <v>135</v>
      </c>
      <c r="E572" s="53" t="s">
        <v>288</v>
      </c>
      <c r="F572" s="55" t="s">
        <v>140</v>
      </c>
      <c r="G572" s="71">
        <f t="shared" si="97"/>
        <v>0</v>
      </c>
      <c r="H572" s="52">
        <f t="shared" si="97"/>
        <v>0</v>
      </c>
      <c r="I572" s="52">
        <f t="shared" si="97"/>
        <v>0</v>
      </c>
      <c r="J572" s="71">
        <f t="shared" si="97"/>
        <v>0</v>
      </c>
      <c r="K572" s="173">
        <f t="shared" si="97"/>
        <v>0</v>
      </c>
      <c r="L572" s="187"/>
      <c r="M572" s="52"/>
      <c r="N572" s="71"/>
      <c r="O572" s="71"/>
      <c r="P572" s="370"/>
      <c r="Q572" s="371"/>
    </row>
    <row r="573" spans="1:17" ht="13.5" hidden="1" thickBot="1">
      <c r="A573" s="286" t="s">
        <v>234</v>
      </c>
      <c r="B573" s="48" t="s">
        <v>134</v>
      </c>
      <c r="C573" s="53" t="s">
        <v>180</v>
      </c>
      <c r="D573" s="53" t="s">
        <v>135</v>
      </c>
      <c r="E573" s="53" t="s">
        <v>288</v>
      </c>
      <c r="F573" s="55" t="s">
        <v>140</v>
      </c>
      <c r="G573" s="71">
        <f t="shared" si="97"/>
        <v>0</v>
      </c>
      <c r="H573" s="52">
        <f t="shared" si="97"/>
        <v>0</v>
      </c>
      <c r="I573" s="52">
        <f t="shared" si="97"/>
        <v>0</v>
      </c>
      <c r="J573" s="71">
        <f t="shared" si="97"/>
        <v>0</v>
      </c>
      <c r="K573" s="173">
        <f t="shared" si="97"/>
        <v>0</v>
      </c>
      <c r="L573" s="187"/>
      <c r="M573" s="52"/>
      <c r="N573" s="71"/>
      <c r="O573" s="71"/>
      <c r="P573" s="370"/>
      <c r="Q573" s="371"/>
    </row>
    <row r="574" spans="1:17" ht="13.5" hidden="1" thickBot="1">
      <c r="A574" s="288" t="s">
        <v>241</v>
      </c>
      <c r="B574" s="48" t="s">
        <v>134</v>
      </c>
      <c r="C574" s="53" t="s">
        <v>180</v>
      </c>
      <c r="D574" s="53" t="s">
        <v>135</v>
      </c>
      <c r="E574" s="53" t="s">
        <v>287</v>
      </c>
      <c r="F574" s="55" t="s">
        <v>140</v>
      </c>
      <c r="G574" s="71"/>
      <c r="H574" s="52"/>
      <c r="I574" s="52"/>
      <c r="J574" s="71"/>
      <c r="K574" s="173"/>
      <c r="L574" s="187"/>
      <c r="M574" s="52"/>
      <c r="N574" s="71"/>
      <c r="O574" s="71"/>
      <c r="P574" s="370"/>
      <c r="Q574" s="371"/>
    </row>
    <row r="575" spans="1:17" ht="3.75" customHeight="1" hidden="1">
      <c r="A575" s="270" t="s">
        <v>289</v>
      </c>
      <c r="B575" s="48" t="s">
        <v>134</v>
      </c>
      <c r="C575" s="49" t="s">
        <v>180</v>
      </c>
      <c r="D575" s="49" t="s">
        <v>135</v>
      </c>
      <c r="E575" s="49" t="s">
        <v>290</v>
      </c>
      <c r="F575" s="51" t="s">
        <v>133</v>
      </c>
      <c r="G575" s="71">
        <f>G576+G582</f>
        <v>0</v>
      </c>
      <c r="H575" s="52">
        <f>H576+H582</f>
        <v>0</v>
      </c>
      <c r="I575" s="52">
        <f>I576+I582</f>
        <v>0</v>
      </c>
      <c r="J575" s="71">
        <f>J576+J582</f>
        <v>0</v>
      </c>
      <c r="K575" s="173">
        <f>K576+K582</f>
        <v>0</v>
      </c>
      <c r="L575" s="187"/>
      <c r="M575" s="52"/>
      <c r="N575" s="71"/>
      <c r="O575" s="71"/>
      <c r="P575" s="370"/>
      <c r="Q575" s="371"/>
    </row>
    <row r="576" spans="1:17" ht="39" hidden="1" thickBot="1">
      <c r="A576" s="270" t="s">
        <v>291</v>
      </c>
      <c r="B576" s="48" t="s">
        <v>134</v>
      </c>
      <c r="C576" s="49" t="s">
        <v>180</v>
      </c>
      <c r="D576" s="49" t="s">
        <v>135</v>
      </c>
      <c r="E576" s="49" t="s">
        <v>292</v>
      </c>
      <c r="F576" s="51" t="s">
        <v>133</v>
      </c>
      <c r="G576" s="71">
        <f aca="true" t="shared" si="98" ref="G576:K578">G577</f>
        <v>0</v>
      </c>
      <c r="H576" s="52">
        <f t="shared" si="98"/>
        <v>0</v>
      </c>
      <c r="I576" s="52">
        <f t="shared" si="98"/>
        <v>0</v>
      </c>
      <c r="J576" s="71">
        <f t="shared" si="98"/>
        <v>0</v>
      </c>
      <c r="K576" s="173">
        <f t="shared" si="98"/>
        <v>0</v>
      </c>
      <c r="L576" s="187"/>
      <c r="M576" s="52"/>
      <c r="N576" s="71"/>
      <c r="O576" s="71"/>
      <c r="P576" s="370"/>
      <c r="Q576" s="371"/>
    </row>
    <row r="577" spans="1:17" ht="13.5" hidden="1" thickBot="1">
      <c r="A577" s="270" t="s">
        <v>262</v>
      </c>
      <c r="B577" s="48" t="s">
        <v>134</v>
      </c>
      <c r="C577" s="53" t="s">
        <v>180</v>
      </c>
      <c r="D577" s="53" t="s">
        <v>135</v>
      </c>
      <c r="E577" s="53" t="s">
        <v>292</v>
      </c>
      <c r="F577" s="55" t="s">
        <v>263</v>
      </c>
      <c r="G577" s="71">
        <f t="shared" si="98"/>
        <v>0</v>
      </c>
      <c r="H577" s="52">
        <f t="shared" si="98"/>
        <v>0</v>
      </c>
      <c r="I577" s="52">
        <f t="shared" si="98"/>
        <v>0</v>
      </c>
      <c r="J577" s="71">
        <f t="shared" si="98"/>
        <v>0</v>
      </c>
      <c r="K577" s="173">
        <f t="shared" si="98"/>
        <v>0</v>
      </c>
      <c r="L577" s="187"/>
      <c r="M577" s="52"/>
      <c r="N577" s="71"/>
      <c r="O577" s="71"/>
      <c r="P577" s="370"/>
      <c r="Q577" s="371"/>
    </row>
    <row r="578" spans="1:17" ht="13.5" hidden="1" thickBot="1">
      <c r="A578" s="288" t="s">
        <v>141</v>
      </c>
      <c r="B578" s="48" t="s">
        <v>134</v>
      </c>
      <c r="C578" s="53" t="s">
        <v>180</v>
      </c>
      <c r="D578" s="53" t="s">
        <v>135</v>
      </c>
      <c r="E578" s="53" t="s">
        <v>292</v>
      </c>
      <c r="F578" s="55" t="s">
        <v>263</v>
      </c>
      <c r="G578" s="71">
        <f t="shared" si="98"/>
        <v>0</v>
      </c>
      <c r="H578" s="52">
        <f t="shared" si="98"/>
        <v>0</v>
      </c>
      <c r="I578" s="52">
        <f t="shared" si="98"/>
        <v>0</v>
      </c>
      <c r="J578" s="71">
        <f t="shared" si="98"/>
        <v>0</v>
      </c>
      <c r="K578" s="173">
        <f t="shared" si="98"/>
        <v>0</v>
      </c>
      <c r="L578" s="187"/>
      <c r="M578" s="52"/>
      <c r="N578" s="71"/>
      <c r="O578" s="71"/>
      <c r="P578" s="370"/>
      <c r="Q578" s="371"/>
    </row>
    <row r="579" spans="1:17" ht="15.75" customHeight="1" hidden="1">
      <c r="A579" s="270" t="s">
        <v>293</v>
      </c>
      <c r="B579" s="48" t="s">
        <v>134</v>
      </c>
      <c r="C579" s="53" t="s">
        <v>180</v>
      </c>
      <c r="D579" s="53" t="s">
        <v>135</v>
      </c>
      <c r="E579" s="53" t="s">
        <v>292</v>
      </c>
      <c r="F579" s="55" t="s">
        <v>263</v>
      </c>
      <c r="G579" s="71">
        <f>G580+G581</f>
        <v>0</v>
      </c>
      <c r="H579" s="52">
        <f>H580+H581</f>
        <v>0</v>
      </c>
      <c r="I579" s="52">
        <f>I580+I581</f>
        <v>0</v>
      </c>
      <c r="J579" s="71">
        <f>J580+J581</f>
        <v>0</v>
      </c>
      <c r="K579" s="173">
        <f>K580+K581</f>
        <v>0</v>
      </c>
      <c r="L579" s="187"/>
      <c r="M579" s="52"/>
      <c r="N579" s="71"/>
      <c r="O579" s="71"/>
      <c r="P579" s="370"/>
      <c r="Q579" s="371"/>
    </row>
    <row r="580" spans="1:17" ht="35.25" customHeight="1" hidden="1">
      <c r="A580" s="270" t="s">
        <v>294</v>
      </c>
      <c r="B580" s="48" t="s">
        <v>134</v>
      </c>
      <c r="C580" s="53" t="s">
        <v>180</v>
      </c>
      <c r="D580" s="53" t="s">
        <v>135</v>
      </c>
      <c r="E580" s="53" t="s">
        <v>292</v>
      </c>
      <c r="F580" s="55" t="s">
        <v>263</v>
      </c>
      <c r="G580" s="71">
        <v>0</v>
      </c>
      <c r="H580" s="52">
        <v>0</v>
      </c>
      <c r="I580" s="52">
        <v>0</v>
      </c>
      <c r="J580" s="71">
        <v>0</v>
      </c>
      <c r="K580" s="173">
        <v>0</v>
      </c>
      <c r="L580" s="187"/>
      <c r="M580" s="52"/>
      <c r="N580" s="71"/>
      <c r="O580" s="71"/>
      <c r="P580" s="370"/>
      <c r="Q580" s="371"/>
    </row>
    <row r="581" spans="1:17" ht="39" hidden="1" thickBot="1">
      <c r="A581" s="270" t="s">
        <v>101</v>
      </c>
      <c r="B581" s="48" t="s">
        <v>134</v>
      </c>
      <c r="C581" s="53" t="s">
        <v>180</v>
      </c>
      <c r="D581" s="53" t="s">
        <v>135</v>
      </c>
      <c r="E581" s="53" t="s">
        <v>292</v>
      </c>
      <c r="F581" s="55" t="s">
        <v>263</v>
      </c>
      <c r="G581" s="71"/>
      <c r="H581" s="52"/>
      <c r="I581" s="52"/>
      <c r="J581" s="71"/>
      <c r="K581" s="173"/>
      <c r="L581" s="187"/>
      <c r="M581" s="52"/>
      <c r="N581" s="71"/>
      <c r="O581" s="71"/>
      <c r="P581" s="370"/>
      <c r="Q581" s="371"/>
    </row>
    <row r="582" spans="1:17" ht="6" customHeight="1" hidden="1">
      <c r="A582" s="270" t="s">
        <v>295</v>
      </c>
      <c r="B582" s="48" t="s">
        <v>134</v>
      </c>
      <c r="C582" s="49" t="s">
        <v>180</v>
      </c>
      <c r="D582" s="49" t="s">
        <v>135</v>
      </c>
      <c r="E582" s="49" t="s">
        <v>296</v>
      </c>
      <c r="F582" s="51" t="s">
        <v>133</v>
      </c>
      <c r="G582" s="71">
        <f>G583</f>
        <v>0</v>
      </c>
      <c r="H582" s="52">
        <f>H583</f>
        <v>0</v>
      </c>
      <c r="I582" s="52">
        <f>I583</f>
        <v>0</v>
      </c>
      <c r="J582" s="71">
        <f>J583</f>
        <v>0</v>
      </c>
      <c r="K582" s="173">
        <f>K583</f>
        <v>0</v>
      </c>
      <c r="L582" s="187"/>
      <c r="M582" s="52"/>
      <c r="N582" s="71"/>
      <c r="O582" s="71"/>
      <c r="P582" s="370"/>
      <c r="Q582" s="371"/>
    </row>
    <row r="583" spans="1:17" ht="13.5" hidden="1" thickBot="1">
      <c r="A583" s="288" t="s">
        <v>139</v>
      </c>
      <c r="B583" s="48" t="s">
        <v>134</v>
      </c>
      <c r="C583" s="53" t="s">
        <v>180</v>
      </c>
      <c r="D583" s="53" t="s">
        <v>135</v>
      </c>
      <c r="E583" s="53" t="s">
        <v>296</v>
      </c>
      <c r="F583" s="55" t="s">
        <v>140</v>
      </c>
      <c r="G583" s="71">
        <f>G584+G587</f>
        <v>0</v>
      </c>
      <c r="H583" s="52">
        <f>H584+H587</f>
        <v>0</v>
      </c>
      <c r="I583" s="52">
        <f>I584+I587</f>
        <v>0</v>
      </c>
      <c r="J583" s="71">
        <f>J584+J587</f>
        <v>0</v>
      </c>
      <c r="K583" s="173">
        <f>K584+K587</f>
        <v>0</v>
      </c>
      <c r="L583" s="187"/>
      <c r="M583" s="52"/>
      <c r="N583" s="71"/>
      <c r="O583" s="71"/>
      <c r="P583" s="370"/>
      <c r="Q583" s="371"/>
    </row>
    <row r="584" spans="1:17" ht="13.5" hidden="1" thickBot="1">
      <c r="A584" s="288" t="s">
        <v>141</v>
      </c>
      <c r="B584" s="48" t="s">
        <v>134</v>
      </c>
      <c r="C584" s="53" t="s">
        <v>180</v>
      </c>
      <c r="D584" s="53" t="s">
        <v>135</v>
      </c>
      <c r="E584" s="53" t="s">
        <v>296</v>
      </c>
      <c r="F584" s="55" t="s">
        <v>140</v>
      </c>
      <c r="G584" s="71">
        <f aca="true" t="shared" si="99" ref="G584:K585">G585</f>
        <v>0</v>
      </c>
      <c r="H584" s="52">
        <f t="shared" si="99"/>
        <v>0</v>
      </c>
      <c r="I584" s="52">
        <f t="shared" si="99"/>
        <v>0</v>
      </c>
      <c r="J584" s="71">
        <f t="shared" si="99"/>
        <v>0</v>
      </c>
      <c r="K584" s="173">
        <f t="shared" si="99"/>
        <v>0</v>
      </c>
      <c r="L584" s="187"/>
      <c r="M584" s="52"/>
      <c r="N584" s="71"/>
      <c r="O584" s="71"/>
      <c r="P584" s="370"/>
      <c r="Q584" s="371"/>
    </row>
    <row r="585" spans="1:17" ht="13.5" hidden="1" thickBot="1">
      <c r="A585" s="288" t="s">
        <v>234</v>
      </c>
      <c r="B585" s="48" t="s">
        <v>134</v>
      </c>
      <c r="C585" s="53" t="s">
        <v>180</v>
      </c>
      <c r="D585" s="53" t="s">
        <v>135</v>
      </c>
      <c r="E585" s="53" t="s">
        <v>296</v>
      </c>
      <c r="F585" s="55" t="s">
        <v>140</v>
      </c>
      <c r="G585" s="71">
        <f t="shared" si="99"/>
        <v>0</v>
      </c>
      <c r="H585" s="52">
        <f t="shared" si="99"/>
        <v>0</v>
      </c>
      <c r="I585" s="52">
        <f t="shared" si="99"/>
        <v>0</v>
      </c>
      <c r="J585" s="71">
        <f t="shared" si="99"/>
        <v>0</v>
      </c>
      <c r="K585" s="173">
        <f t="shared" si="99"/>
        <v>0</v>
      </c>
      <c r="L585" s="187"/>
      <c r="M585" s="52"/>
      <c r="N585" s="71"/>
      <c r="O585" s="71"/>
      <c r="P585" s="370"/>
      <c r="Q585" s="371"/>
    </row>
    <row r="586" spans="1:17" ht="13.5" hidden="1" thickBot="1">
      <c r="A586" s="288" t="s">
        <v>241</v>
      </c>
      <c r="B586" s="48" t="s">
        <v>134</v>
      </c>
      <c r="C586" s="53" t="s">
        <v>180</v>
      </c>
      <c r="D586" s="53" t="s">
        <v>135</v>
      </c>
      <c r="E586" s="53" t="s">
        <v>296</v>
      </c>
      <c r="F586" s="55" t="s">
        <v>140</v>
      </c>
      <c r="G586" s="71"/>
      <c r="H586" s="52"/>
      <c r="I586" s="52"/>
      <c r="J586" s="71"/>
      <c r="K586" s="173"/>
      <c r="L586" s="187"/>
      <c r="M586" s="52"/>
      <c r="N586" s="71"/>
      <c r="O586" s="71"/>
      <c r="P586" s="370"/>
      <c r="Q586" s="371"/>
    </row>
    <row r="587" spans="1:17" ht="13.5" hidden="1" thickBot="1">
      <c r="A587" s="270" t="s">
        <v>159</v>
      </c>
      <c r="B587" s="48" t="s">
        <v>134</v>
      </c>
      <c r="C587" s="53" t="s">
        <v>180</v>
      </c>
      <c r="D587" s="53" t="s">
        <v>135</v>
      </c>
      <c r="E587" s="53" t="s">
        <v>296</v>
      </c>
      <c r="F587" s="55" t="s">
        <v>140</v>
      </c>
      <c r="G587" s="71">
        <f>G588</f>
        <v>0</v>
      </c>
      <c r="H587" s="52">
        <f>H588</f>
        <v>0</v>
      </c>
      <c r="I587" s="52">
        <f>I588</f>
        <v>0</v>
      </c>
      <c r="J587" s="71">
        <f>J588</f>
        <v>0</v>
      </c>
      <c r="K587" s="173">
        <f>K588</f>
        <v>0</v>
      </c>
      <c r="L587" s="187"/>
      <c r="M587" s="52"/>
      <c r="N587" s="71"/>
      <c r="O587" s="71"/>
      <c r="P587" s="370"/>
      <c r="Q587" s="371"/>
    </row>
    <row r="588" spans="1:17" ht="13.5" hidden="1" thickBot="1">
      <c r="A588" s="286" t="s">
        <v>160</v>
      </c>
      <c r="B588" s="48" t="s">
        <v>134</v>
      </c>
      <c r="C588" s="53" t="s">
        <v>180</v>
      </c>
      <c r="D588" s="53" t="s">
        <v>135</v>
      </c>
      <c r="E588" s="53" t="s">
        <v>296</v>
      </c>
      <c r="F588" s="55" t="s">
        <v>140</v>
      </c>
      <c r="G588" s="71"/>
      <c r="H588" s="52"/>
      <c r="I588" s="52"/>
      <c r="J588" s="71"/>
      <c r="K588" s="173"/>
      <c r="L588" s="187"/>
      <c r="M588" s="52"/>
      <c r="N588" s="71"/>
      <c r="O588" s="71"/>
      <c r="P588" s="370"/>
      <c r="Q588" s="371"/>
    </row>
    <row r="589" spans="1:17" ht="22.5" customHeight="1" hidden="1">
      <c r="A589" s="288" t="s">
        <v>297</v>
      </c>
      <c r="B589" s="48" t="s">
        <v>134</v>
      </c>
      <c r="C589" s="49" t="s">
        <v>180</v>
      </c>
      <c r="D589" s="49" t="s">
        <v>135</v>
      </c>
      <c r="E589" s="49" t="s">
        <v>298</v>
      </c>
      <c r="F589" s="51" t="s">
        <v>133</v>
      </c>
      <c r="G589" s="71">
        <f aca="true" t="shared" si="100" ref="G589:K593">G590</f>
        <v>0</v>
      </c>
      <c r="H589" s="52">
        <f t="shared" si="100"/>
        <v>0</v>
      </c>
      <c r="I589" s="52">
        <f t="shared" si="100"/>
        <v>0</v>
      </c>
      <c r="J589" s="71">
        <f t="shared" si="100"/>
        <v>0</v>
      </c>
      <c r="K589" s="173">
        <f t="shared" si="100"/>
        <v>0</v>
      </c>
      <c r="L589" s="187"/>
      <c r="M589" s="52"/>
      <c r="N589" s="71"/>
      <c r="O589" s="71"/>
      <c r="P589" s="370"/>
      <c r="Q589" s="371"/>
    </row>
    <row r="590" spans="1:17" ht="39" hidden="1" thickBot="1">
      <c r="A590" s="270" t="s">
        <v>299</v>
      </c>
      <c r="B590" s="48" t="s">
        <v>134</v>
      </c>
      <c r="C590" s="53" t="s">
        <v>180</v>
      </c>
      <c r="D590" s="53" t="s">
        <v>135</v>
      </c>
      <c r="E590" s="53" t="s">
        <v>300</v>
      </c>
      <c r="F590" s="55" t="s">
        <v>133</v>
      </c>
      <c r="G590" s="71">
        <f t="shared" si="100"/>
        <v>0</v>
      </c>
      <c r="H590" s="52">
        <f t="shared" si="100"/>
        <v>0</v>
      </c>
      <c r="I590" s="52">
        <f t="shared" si="100"/>
        <v>0</v>
      </c>
      <c r="J590" s="71">
        <f t="shared" si="100"/>
        <v>0</v>
      </c>
      <c r="K590" s="173">
        <f t="shared" si="100"/>
        <v>0</v>
      </c>
      <c r="L590" s="187"/>
      <c r="M590" s="52"/>
      <c r="N590" s="71"/>
      <c r="O590" s="71"/>
      <c r="P590" s="370"/>
      <c r="Q590" s="371"/>
    </row>
    <row r="591" spans="1:17" ht="13.5" hidden="1" thickBot="1">
      <c r="A591" s="270" t="s">
        <v>262</v>
      </c>
      <c r="B591" s="48" t="s">
        <v>134</v>
      </c>
      <c r="C591" s="53" t="s">
        <v>180</v>
      </c>
      <c r="D591" s="53" t="s">
        <v>135</v>
      </c>
      <c r="E591" s="53" t="s">
        <v>300</v>
      </c>
      <c r="F591" s="55" t="s">
        <v>263</v>
      </c>
      <c r="G591" s="71">
        <f t="shared" si="100"/>
        <v>0</v>
      </c>
      <c r="H591" s="52">
        <f t="shared" si="100"/>
        <v>0</v>
      </c>
      <c r="I591" s="52">
        <f t="shared" si="100"/>
        <v>0</v>
      </c>
      <c r="J591" s="71">
        <f t="shared" si="100"/>
        <v>0</v>
      </c>
      <c r="K591" s="173">
        <f t="shared" si="100"/>
        <v>0</v>
      </c>
      <c r="L591" s="187"/>
      <c r="M591" s="52"/>
      <c r="N591" s="71"/>
      <c r="O591" s="71"/>
      <c r="P591" s="370"/>
      <c r="Q591" s="371"/>
    </row>
    <row r="592" spans="1:17" ht="13.5" hidden="1" thickBot="1">
      <c r="A592" s="288" t="s">
        <v>141</v>
      </c>
      <c r="B592" s="48" t="s">
        <v>134</v>
      </c>
      <c r="C592" s="53" t="s">
        <v>180</v>
      </c>
      <c r="D592" s="53" t="s">
        <v>135</v>
      </c>
      <c r="E592" s="53" t="s">
        <v>300</v>
      </c>
      <c r="F592" s="55" t="s">
        <v>263</v>
      </c>
      <c r="G592" s="71">
        <f t="shared" si="100"/>
        <v>0</v>
      </c>
      <c r="H592" s="52">
        <f t="shared" si="100"/>
        <v>0</v>
      </c>
      <c r="I592" s="52">
        <f t="shared" si="100"/>
        <v>0</v>
      </c>
      <c r="J592" s="71">
        <f t="shared" si="100"/>
        <v>0</v>
      </c>
      <c r="K592" s="173">
        <f t="shared" si="100"/>
        <v>0</v>
      </c>
      <c r="L592" s="187"/>
      <c r="M592" s="52"/>
      <c r="N592" s="71"/>
      <c r="O592" s="71"/>
      <c r="P592" s="370"/>
      <c r="Q592" s="371"/>
    </row>
    <row r="593" spans="1:17" ht="13.5" customHeight="1" hidden="1">
      <c r="A593" s="270" t="s">
        <v>293</v>
      </c>
      <c r="B593" s="48" t="s">
        <v>134</v>
      </c>
      <c r="C593" s="53" t="s">
        <v>180</v>
      </c>
      <c r="D593" s="53" t="s">
        <v>135</v>
      </c>
      <c r="E593" s="53" t="s">
        <v>300</v>
      </c>
      <c r="F593" s="55" t="s">
        <v>263</v>
      </c>
      <c r="G593" s="71">
        <f t="shared" si="100"/>
        <v>0</v>
      </c>
      <c r="H593" s="52">
        <f t="shared" si="100"/>
        <v>0</v>
      </c>
      <c r="I593" s="52">
        <f t="shared" si="100"/>
        <v>0</v>
      </c>
      <c r="J593" s="71">
        <f t="shared" si="100"/>
        <v>0</v>
      </c>
      <c r="K593" s="173">
        <f t="shared" si="100"/>
        <v>0</v>
      </c>
      <c r="L593" s="187"/>
      <c r="M593" s="52"/>
      <c r="N593" s="71"/>
      <c r="O593" s="71"/>
      <c r="P593" s="370"/>
      <c r="Q593" s="371"/>
    </row>
    <row r="594" spans="1:17" ht="26.25" hidden="1" thickBot="1">
      <c r="A594" s="270" t="s">
        <v>301</v>
      </c>
      <c r="B594" s="48" t="s">
        <v>134</v>
      </c>
      <c r="C594" s="53" t="s">
        <v>180</v>
      </c>
      <c r="D594" s="53" t="s">
        <v>135</v>
      </c>
      <c r="E594" s="53" t="s">
        <v>300</v>
      </c>
      <c r="F594" s="55" t="s">
        <v>263</v>
      </c>
      <c r="G594" s="71"/>
      <c r="H594" s="52"/>
      <c r="I594" s="52"/>
      <c r="J594" s="71"/>
      <c r="K594" s="173"/>
      <c r="L594" s="187"/>
      <c r="M594" s="52"/>
      <c r="N594" s="71"/>
      <c r="O594" s="71"/>
      <c r="P594" s="370"/>
      <c r="Q594" s="371"/>
    </row>
    <row r="595" spans="1:17" ht="0.75" customHeight="1" hidden="1">
      <c r="A595" s="286" t="s">
        <v>302</v>
      </c>
      <c r="B595" s="48" t="s">
        <v>134</v>
      </c>
      <c r="C595" s="49" t="s">
        <v>180</v>
      </c>
      <c r="D595" s="49" t="s">
        <v>135</v>
      </c>
      <c r="E595" s="50" t="s">
        <v>255</v>
      </c>
      <c r="F595" s="51" t="s">
        <v>133</v>
      </c>
      <c r="G595" s="71">
        <f>G596</f>
        <v>0</v>
      </c>
      <c r="H595" s="52">
        <f>H596</f>
        <v>0</v>
      </c>
      <c r="I595" s="52">
        <f>I596</f>
        <v>0</v>
      </c>
      <c r="J595" s="71">
        <f>J596</f>
        <v>0</v>
      </c>
      <c r="K595" s="173">
        <f>K596</f>
        <v>0</v>
      </c>
      <c r="L595" s="187"/>
      <c r="M595" s="52"/>
      <c r="N595" s="71"/>
      <c r="O595" s="71"/>
      <c r="P595" s="370"/>
      <c r="Q595" s="371"/>
    </row>
    <row r="596" spans="1:17" ht="66.75" customHeight="1" hidden="1">
      <c r="A596" s="293" t="s">
        <v>303</v>
      </c>
      <c r="B596" s="48" t="s">
        <v>134</v>
      </c>
      <c r="C596" s="49" t="s">
        <v>180</v>
      </c>
      <c r="D596" s="49" t="s">
        <v>135</v>
      </c>
      <c r="E596" s="50" t="s">
        <v>304</v>
      </c>
      <c r="F596" s="51" t="s">
        <v>133</v>
      </c>
      <c r="G596" s="71">
        <f>G597+G601</f>
        <v>0</v>
      </c>
      <c r="H596" s="52">
        <f>H597+H601</f>
        <v>0</v>
      </c>
      <c r="I596" s="52">
        <f>I597+I601</f>
        <v>0</v>
      </c>
      <c r="J596" s="71">
        <f>J597+J601</f>
        <v>0</v>
      </c>
      <c r="K596" s="173">
        <f>K597+K601</f>
        <v>0</v>
      </c>
      <c r="L596" s="187"/>
      <c r="M596" s="52"/>
      <c r="N596" s="71"/>
      <c r="O596" s="71"/>
      <c r="P596" s="370"/>
      <c r="Q596" s="371"/>
    </row>
    <row r="597" spans="1:17" ht="13.5" hidden="1" thickBot="1">
      <c r="A597" s="299" t="s">
        <v>251</v>
      </c>
      <c r="B597" s="48" t="s">
        <v>134</v>
      </c>
      <c r="C597" s="49" t="s">
        <v>180</v>
      </c>
      <c r="D597" s="49" t="s">
        <v>135</v>
      </c>
      <c r="E597" s="50" t="s">
        <v>304</v>
      </c>
      <c r="F597" s="51" t="s">
        <v>252</v>
      </c>
      <c r="G597" s="71">
        <f>G598</f>
        <v>0</v>
      </c>
      <c r="H597" s="52">
        <f>H598</f>
        <v>0</v>
      </c>
      <c r="I597" s="52">
        <f>I598</f>
        <v>0</v>
      </c>
      <c r="J597" s="71">
        <f>J598</f>
        <v>0</v>
      </c>
      <c r="K597" s="173">
        <f>K598</f>
        <v>0</v>
      </c>
      <c r="L597" s="187"/>
      <c r="M597" s="52"/>
      <c r="N597" s="71"/>
      <c r="O597" s="71"/>
      <c r="P597" s="370"/>
      <c r="Q597" s="371"/>
    </row>
    <row r="598" spans="1:17" ht="13.5" hidden="1" thickBot="1">
      <c r="A598" s="270" t="s">
        <v>153</v>
      </c>
      <c r="B598" s="48" t="s">
        <v>134</v>
      </c>
      <c r="C598" s="49" t="s">
        <v>180</v>
      </c>
      <c r="D598" s="49" t="s">
        <v>135</v>
      </c>
      <c r="E598" s="50" t="s">
        <v>304</v>
      </c>
      <c r="F598" s="51" t="s">
        <v>252</v>
      </c>
      <c r="G598" s="71">
        <f>G599+G600</f>
        <v>0</v>
      </c>
      <c r="H598" s="52">
        <f>H599+H600</f>
        <v>0</v>
      </c>
      <c r="I598" s="52">
        <f>I599+I600</f>
        <v>0</v>
      </c>
      <c r="J598" s="71">
        <f>J599+J600</f>
        <v>0</v>
      </c>
      <c r="K598" s="173">
        <f>K599+K600</f>
        <v>0</v>
      </c>
      <c r="L598" s="187"/>
      <c r="M598" s="52"/>
      <c r="N598" s="71"/>
      <c r="O598" s="71"/>
      <c r="P598" s="370"/>
      <c r="Q598" s="371"/>
    </row>
    <row r="599" spans="1:17" ht="0.75" customHeight="1" hidden="1">
      <c r="A599" s="270" t="s">
        <v>156</v>
      </c>
      <c r="B599" s="48" t="s">
        <v>134</v>
      </c>
      <c r="C599" s="49" t="s">
        <v>180</v>
      </c>
      <c r="D599" s="49" t="s">
        <v>135</v>
      </c>
      <c r="E599" s="50" t="s">
        <v>304</v>
      </c>
      <c r="F599" s="51" t="s">
        <v>252</v>
      </c>
      <c r="G599" s="71">
        <v>0</v>
      </c>
      <c r="H599" s="52">
        <v>0</v>
      </c>
      <c r="I599" s="52">
        <v>0</v>
      </c>
      <c r="J599" s="71">
        <v>0</v>
      </c>
      <c r="K599" s="173">
        <v>0</v>
      </c>
      <c r="L599" s="187"/>
      <c r="M599" s="52"/>
      <c r="N599" s="71"/>
      <c r="O599" s="71"/>
      <c r="P599" s="370"/>
      <c r="Q599" s="371"/>
    </row>
    <row r="600" spans="1:17" ht="11.25" customHeight="1" hidden="1">
      <c r="A600" s="270" t="s">
        <v>305</v>
      </c>
      <c r="B600" s="48" t="s">
        <v>134</v>
      </c>
      <c r="C600" s="49" t="s">
        <v>180</v>
      </c>
      <c r="D600" s="49" t="s">
        <v>135</v>
      </c>
      <c r="E600" s="50" t="s">
        <v>304</v>
      </c>
      <c r="F600" s="51" t="s">
        <v>252</v>
      </c>
      <c r="G600" s="71"/>
      <c r="H600" s="52"/>
      <c r="I600" s="52"/>
      <c r="J600" s="71"/>
      <c r="K600" s="173"/>
      <c r="L600" s="187"/>
      <c r="M600" s="52"/>
      <c r="N600" s="71"/>
      <c r="O600" s="71"/>
      <c r="P600" s="370"/>
      <c r="Q600" s="371"/>
    </row>
    <row r="601" spans="1:17" ht="13.5" hidden="1" thickBot="1">
      <c r="A601" s="270" t="s">
        <v>159</v>
      </c>
      <c r="B601" s="48" t="s">
        <v>134</v>
      </c>
      <c r="C601" s="49" t="s">
        <v>180</v>
      </c>
      <c r="D601" s="49" t="s">
        <v>135</v>
      </c>
      <c r="E601" s="50" t="s">
        <v>304</v>
      </c>
      <c r="F601" s="51" t="s">
        <v>252</v>
      </c>
      <c r="G601" s="71">
        <f>G602+G603</f>
        <v>0</v>
      </c>
      <c r="H601" s="52">
        <f>H602+H603</f>
        <v>0</v>
      </c>
      <c r="I601" s="52">
        <f>I602+I603</f>
        <v>0</v>
      </c>
      <c r="J601" s="71">
        <f>J602+J603</f>
        <v>0</v>
      </c>
      <c r="K601" s="173">
        <f>K602+K603</f>
        <v>0</v>
      </c>
      <c r="L601" s="187"/>
      <c r="M601" s="52"/>
      <c r="N601" s="71"/>
      <c r="O601" s="71"/>
      <c r="P601" s="370"/>
      <c r="Q601" s="371"/>
    </row>
    <row r="602" spans="1:17" ht="13.5" hidden="1" thickBot="1">
      <c r="A602" s="270" t="s">
        <v>160</v>
      </c>
      <c r="B602" s="48" t="s">
        <v>134</v>
      </c>
      <c r="C602" s="49" t="s">
        <v>180</v>
      </c>
      <c r="D602" s="49" t="s">
        <v>135</v>
      </c>
      <c r="E602" s="50" t="s">
        <v>304</v>
      </c>
      <c r="F602" s="51" t="s">
        <v>252</v>
      </c>
      <c r="G602" s="71">
        <v>0</v>
      </c>
      <c r="H602" s="52">
        <v>0</v>
      </c>
      <c r="I602" s="52">
        <v>0</v>
      </c>
      <c r="J602" s="71">
        <v>0</v>
      </c>
      <c r="K602" s="173">
        <v>0</v>
      </c>
      <c r="L602" s="187"/>
      <c r="M602" s="52"/>
      <c r="N602" s="71"/>
      <c r="O602" s="71"/>
      <c r="P602" s="370"/>
      <c r="Q602" s="371"/>
    </row>
    <row r="603" spans="1:17" ht="13.5" hidden="1" thickBot="1">
      <c r="A603" s="270" t="s">
        <v>161</v>
      </c>
      <c r="B603" s="48" t="s">
        <v>134</v>
      </c>
      <c r="C603" s="49" t="s">
        <v>180</v>
      </c>
      <c r="D603" s="49" t="s">
        <v>135</v>
      </c>
      <c r="E603" s="50" t="s">
        <v>304</v>
      </c>
      <c r="F603" s="51" t="s">
        <v>252</v>
      </c>
      <c r="G603" s="71">
        <v>0</v>
      </c>
      <c r="H603" s="52">
        <v>0</v>
      </c>
      <c r="I603" s="52">
        <v>0</v>
      </c>
      <c r="J603" s="71">
        <v>0</v>
      </c>
      <c r="K603" s="173">
        <v>0</v>
      </c>
      <c r="L603" s="187"/>
      <c r="M603" s="52"/>
      <c r="N603" s="71"/>
      <c r="O603" s="71"/>
      <c r="P603" s="370"/>
      <c r="Q603" s="371"/>
    </row>
    <row r="604" spans="1:17" ht="0.75" customHeight="1" hidden="1">
      <c r="A604" s="270"/>
      <c r="B604" s="48"/>
      <c r="C604" s="53"/>
      <c r="D604" s="53"/>
      <c r="E604" s="53"/>
      <c r="F604" s="55"/>
      <c r="G604" s="71"/>
      <c r="H604" s="52"/>
      <c r="I604" s="52"/>
      <c r="J604" s="71"/>
      <c r="K604" s="173"/>
      <c r="L604" s="187"/>
      <c r="M604" s="52"/>
      <c r="N604" s="71"/>
      <c r="O604" s="71"/>
      <c r="P604" s="370"/>
      <c r="Q604" s="371"/>
    </row>
    <row r="605" spans="1:17" ht="13.5" hidden="1" thickBot="1">
      <c r="A605" s="270"/>
      <c r="B605" s="48"/>
      <c r="C605" s="53"/>
      <c r="D605" s="53"/>
      <c r="E605" s="53"/>
      <c r="F605" s="55"/>
      <c r="G605" s="71"/>
      <c r="H605" s="52"/>
      <c r="I605" s="52"/>
      <c r="J605" s="71"/>
      <c r="K605" s="161"/>
      <c r="L605" s="238"/>
      <c r="M605" s="89"/>
      <c r="N605" s="134"/>
      <c r="O605" s="134"/>
      <c r="P605" s="394"/>
      <c r="Q605" s="395"/>
    </row>
    <row r="606" spans="1:17" ht="16.5" customHeight="1">
      <c r="A606" s="269" t="s">
        <v>402</v>
      </c>
      <c r="B606" s="48" t="s">
        <v>133</v>
      </c>
      <c r="C606" s="49" t="s">
        <v>180</v>
      </c>
      <c r="D606" s="49" t="s">
        <v>135</v>
      </c>
      <c r="E606" s="49" t="s">
        <v>219</v>
      </c>
      <c r="F606" s="51"/>
      <c r="G606" s="248">
        <f aca="true" t="shared" si="101" ref="G606:N606">G609+G650</f>
        <v>4000</v>
      </c>
      <c r="H606" s="159">
        <f t="shared" si="101"/>
        <v>4000</v>
      </c>
      <c r="I606" s="159">
        <f t="shared" si="101"/>
        <v>4000</v>
      </c>
      <c r="J606" s="182">
        <f t="shared" si="101"/>
        <v>118.09299999999999</v>
      </c>
      <c r="K606" s="187">
        <f t="shared" si="101"/>
        <v>4118.093</v>
      </c>
      <c r="L606" s="182">
        <f t="shared" si="101"/>
        <v>-1126.003</v>
      </c>
      <c r="M606" s="182">
        <f t="shared" si="101"/>
        <v>873.75</v>
      </c>
      <c r="N606" s="201">
        <f t="shared" si="101"/>
        <v>0</v>
      </c>
      <c r="O606" s="201">
        <f>O608+O650</f>
        <v>59367.74</v>
      </c>
      <c r="P606" s="370">
        <f>P608</f>
        <v>57481.66</v>
      </c>
      <c r="Q606" s="371">
        <f>Q608</f>
        <v>57398.77</v>
      </c>
    </row>
    <row r="607" spans="1:17" ht="12.75" hidden="1">
      <c r="A607" s="287" t="s">
        <v>139</v>
      </c>
      <c r="B607" s="48" t="s">
        <v>134</v>
      </c>
      <c r="C607" s="49" t="s">
        <v>180</v>
      </c>
      <c r="D607" s="49" t="s">
        <v>135</v>
      </c>
      <c r="E607" s="49" t="s">
        <v>219</v>
      </c>
      <c r="F607" s="51" t="s">
        <v>140</v>
      </c>
      <c r="G607" s="248">
        <f>G609+G651</f>
        <v>4000</v>
      </c>
      <c r="H607" s="159">
        <f>H609+H651</f>
        <v>4000</v>
      </c>
      <c r="I607" s="159">
        <f>I609+I651</f>
        <v>4000</v>
      </c>
      <c r="J607" s="182">
        <f>J609+J651</f>
        <v>118.09299999999999</v>
      </c>
      <c r="K607" s="187">
        <f>K609+K651</f>
        <v>4118.093</v>
      </c>
      <c r="L607" s="187"/>
      <c r="M607" s="52"/>
      <c r="N607" s="71"/>
      <c r="O607" s="71"/>
      <c r="P607" s="370"/>
      <c r="Q607" s="371"/>
    </row>
    <row r="608" spans="1:17" ht="25.5">
      <c r="A608" s="270" t="s">
        <v>432</v>
      </c>
      <c r="B608" s="48" t="s">
        <v>133</v>
      </c>
      <c r="C608" s="49" t="s">
        <v>180</v>
      </c>
      <c r="D608" s="49" t="s">
        <v>135</v>
      </c>
      <c r="E608" s="49" t="s">
        <v>339</v>
      </c>
      <c r="F608" s="51"/>
      <c r="G608" s="248"/>
      <c r="H608" s="159"/>
      <c r="I608" s="159"/>
      <c r="J608" s="182"/>
      <c r="K608" s="187"/>
      <c r="L608" s="173"/>
      <c r="M608" s="173"/>
      <c r="N608" s="71"/>
      <c r="O608" s="71">
        <f>O609</f>
        <v>2000</v>
      </c>
      <c r="P608" s="370">
        <f>P609+P650</f>
        <v>57481.66</v>
      </c>
      <c r="Q608" s="371">
        <f>Q609+Q650</f>
        <v>57398.77</v>
      </c>
    </row>
    <row r="609" spans="1:17" ht="25.5">
      <c r="A609" s="288" t="s">
        <v>612</v>
      </c>
      <c r="B609" s="48" t="s">
        <v>134</v>
      </c>
      <c r="C609" s="49" t="s">
        <v>180</v>
      </c>
      <c r="D609" s="49" t="s">
        <v>135</v>
      </c>
      <c r="E609" s="49" t="s">
        <v>435</v>
      </c>
      <c r="F609" s="51"/>
      <c r="G609" s="248">
        <f aca="true" t="shared" si="102" ref="G609:N609">G644+G646+G648</f>
        <v>2000</v>
      </c>
      <c r="H609" s="159">
        <f t="shared" si="102"/>
        <v>2000</v>
      </c>
      <c r="I609" s="159">
        <f t="shared" si="102"/>
        <v>2000</v>
      </c>
      <c r="J609" s="182">
        <f t="shared" si="102"/>
        <v>42.09299999999999</v>
      </c>
      <c r="K609" s="187">
        <f t="shared" si="102"/>
        <v>2042.093</v>
      </c>
      <c r="L609" s="182">
        <f t="shared" si="102"/>
        <v>-50.002999999999986</v>
      </c>
      <c r="M609" s="182">
        <f t="shared" si="102"/>
        <v>0</v>
      </c>
      <c r="N609" s="201">
        <f t="shared" si="102"/>
        <v>0</v>
      </c>
      <c r="O609" s="201">
        <f>O644+O646+O648</f>
        <v>2000</v>
      </c>
      <c r="P609" s="370">
        <f>P644+P646+P648</f>
        <v>2000</v>
      </c>
      <c r="Q609" s="371">
        <f>Q644+Q646+Q648</f>
        <v>2000</v>
      </c>
    </row>
    <row r="610" spans="1:17" ht="39.75" customHeight="1" hidden="1">
      <c r="A610" s="300"/>
      <c r="B610" s="48" t="s">
        <v>134</v>
      </c>
      <c r="C610" s="53" t="s">
        <v>180</v>
      </c>
      <c r="D610" s="53" t="s">
        <v>135</v>
      </c>
      <c r="E610" s="53" t="s">
        <v>306</v>
      </c>
      <c r="F610" s="55" t="s">
        <v>140</v>
      </c>
      <c r="G610" s="250">
        <f>SUM(G611:G620)</f>
        <v>17500</v>
      </c>
      <c r="H610" s="104">
        <f>SUM(H611:H620)</f>
        <v>17500</v>
      </c>
      <c r="I610" s="104">
        <f>SUM(I611:I620)</f>
        <v>17500</v>
      </c>
      <c r="J610" s="180">
        <f>SUM(J611:J620)</f>
        <v>17500</v>
      </c>
      <c r="K610" s="189">
        <f>SUM(K611:K620)</f>
        <v>17500</v>
      </c>
      <c r="L610" s="189"/>
      <c r="M610" s="59"/>
      <c r="N610" s="65"/>
      <c r="O610" s="65"/>
      <c r="P610" s="374"/>
      <c r="Q610" s="375"/>
    </row>
    <row r="611" spans="1:17" ht="4.5" customHeight="1" hidden="1">
      <c r="A611" s="270" t="s">
        <v>305</v>
      </c>
      <c r="B611" s="48" t="s">
        <v>134</v>
      </c>
      <c r="C611" s="53" t="s">
        <v>180</v>
      </c>
      <c r="D611" s="53" t="s">
        <v>135</v>
      </c>
      <c r="E611" s="53" t="s">
        <v>306</v>
      </c>
      <c r="F611" s="55" t="s">
        <v>140</v>
      </c>
      <c r="G611" s="250"/>
      <c r="H611" s="104"/>
      <c r="I611" s="104"/>
      <c r="J611" s="180"/>
      <c r="K611" s="189"/>
      <c r="L611" s="189"/>
      <c r="M611" s="59"/>
      <c r="N611" s="65"/>
      <c r="O611" s="65"/>
      <c r="P611" s="374"/>
      <c r="Q611" s="375"/>
    </row>
    <row r="612" spans="1:17" ht="12.75" hidden="1">
      <c r="A612" s="270" t="s">
        <v>305</v>
      </c>
      <c r="B612" s="48" t="s">
        <v>226</v>
      </c>
      <c r="C612" s="53" t="s">
        <v>180</v>
      </c>
      <c r="D612" s="53" t="s">
        <v>135</v>
      </c>
      <c r="E612" s="53" t="s">
        <v>306</v>
      </c>
      <c r="F612" s="55" t="s">
        <v>140</v>
      </c>
      <c r="G612" s="250">
        <f>14000+3500</f>
        <v>17500</v>
      </c>
      <c r="H612" s="104">
        <f>14000+3500</f>
        <v>17500</v>
      </c>
      <c r="I612" s="104">
        <f>14000+3500</f>
        <v>17500</v>
      </c>
      <c r="J612" s="180">
        <f>14000+3500</f>
        <v>17500</v>
      </c>
      <c r="K612" s="189">
        <f>14000+3500</f>
        <v>17500</v>
      </c>
      <c r="L612" s="189"/>
      <c r="M612" s="59"/>
      <c r="N612" s="65"/>
      <c r="O612" s="65"/>
      <c r="P612" s="374"/>
      <c r="Q612" s="375"/>
    </row>
    <row r="613" spans="1:17" ht="12.75" hidden="1">
      <c r="A613" s="270" t="s">
        <v>305</v>
      </c>
      <c r="B613" s="48" t="s">
        <v>307</v>
      </c>
      <c r="C613" s="53" t="s">
        <v>180</v>
      </c>
      <c r="D613" s="53" t="s">
        <v>135</v>
      </c>
      <c r="E613" s="53" t="s">
        <v>306</v>
      </c>
      <c r="F613" s="55" t="s">
        <v>140</v>
      </c>
      <c r="G613" s="250"/>
      <c r="H613" s="104"/>
      <c r="I613" s="104"/>
      <c r="J613" s="180"/>
      <c r="K613" s="189"/>
      <c r="L613" s="189"/>
      <c r="M613" s="59"/>
      <c r="N613" s="65"/>
      <c r="O613" s="65"/>
      <c r="P613" s="374"/>
      <c r="Q613" s="375"/>
    </row>
    <row r="614" spans="1:17" ht="12.75" hidden="1">
      <c r="A614" s="300"/>
      <c r="B614" s="48" t="s">
        <v>265</v>
      </c>
      <c r="C614" s="53" t="s">
        <v>180</v>
      </c>
      <c r="D614" s="53" t="s">
        <v>135</v>
      </c>
      <c r="E614" s="53" t="s">
        <v>306</v>
      </c>
      <c r="F614" s="55" t="s">
        <v>140</v>
      </c>
      <c r="G614" s="250"/>
      <c r="H614" s="104"/>
      <c r="I614" s="104"/>
      <c r="J614" s="180"/>
      <c r="K614" s="189"/>
      <c r="L614" s="189"/>
      <c r="M614" s="59"/>
      <c r="N614" s="65"/>
      <c r="O614" s="65"/>
      <c r="P614" s="374"/>
      <c r="Q614" s="375"/>
    </row>
    <row r="615" spans="1:17" ht="12.75" hidden="1">
      <c r="A615" s="270"/>
      <c r="B615" s="48" t="s">
        <v>265</v>
      </c>
      <c r="C615" s="53" t="s">
        <v>180</v>
      </c>
      <c r="D615" s="53" t="s">
        <v>135</v>
      </c>
      <c r="E615" s="53" t="s">
        <v>306</v>
      </c>
      <c r="F615" s="55" t="s">
        <v>140</v>
      </c>
      <c r="G615" s="250"/>
      <c r="H615" s="104"/>
      <c r="I615" s="104"/>
      <c r="J615" s="180"/>
      <c r="K615" s="189"/>
      <c r="L615" s="189"/>
      <c r="M615" s="59"/>
      <c r="N615" s="65"/>
      <c r="O615" s="65"/>
      <c r="P615" s="374"/>
      <c r="Q615" s="375"/>
    </row>
    <row r="616" spans="1:17" ht="12.75" customHeight="1" hidden="1">
      <c r="A616" s="270" t="s">
        <v>157</v>
      </c>
      <c r="B616" s="48" t="s">
        <v>134</v>
      </c>
      <c r="C616" s="53" t="s">
        <v>180</v>
      </c>
      <c r="D616" s="53" t="s">
        <v>135</v>
      </c>
      <c r="E616" s="53" t="s">
        <v>308</v>
      </c>
      <c r="F616" s="55" t="s">
        <v>140</v>
      </c>
      <c r="G616" s="250"/>
      <c r="H616" s="104"/>
      <c r="I616" s="104"/>
      <c r="J616" s="180"/>
      <c r="K616" s="189"/>
      <c r="L616" s="189"/>
      <c r="M616" s="59"/>
      <c r="N616" s="65"/>
      <c r="O616" s="65"/>
      <c r="P616" s="374"/>
      <c r="Q616" s="375"/>
    </row>
    <row r="617" spans="1:17" ht="4.5" customHeight="1" hidden="1">
      <c r="A617" s="270" t="s">
        <v>305</v>
      </c>
      <c r="B617" s="48" t="s">
        <v>134</v>
      </c>
      <c r="C617" s="53" t="s">
        <v>180</v>
      </c>
      <c r="D617" s="53" t="s">
        <v>135</v>
      </c>
      <c r="E617" s="53" t="s">
        <v>219</v>
      </c>
      <c r="F617" s="55" t="s">
        <v>140</v>
      </c>
      <c r="G617" s="250"/>
      <c r="H617" s="104"/>
      <c r="I617" s="104"/>
      <c r="J617" s="180"/>
      <c r="K617" s="189"/>
      <c r="L617" s="189"/>
      <c r="M617" s="59"/>
      <c r="N617" s="65"/>
      <c r="O617" s="65"/>
      <c r="P617" s="374"/>
      <c r="Q617" s="375"/>
    </row>
    <row r="618" spans="1:17" ht="12.75" hidden="1">
      <c r="A618" s="270" t="s">
        <v>305</v>
      </c>
      <c r="B618" s="48" t="s">
        <v>134</v>
      </c>
      <c r="C618" s="53" t="s">
        <v>180</v>
      </c>
      <c r="D618" s="53" t="s">
        <v>135</v>
      </c>
      <c r="E618" s="53" t="s">
        <v>219</v>
      </c>
      <c r="F618" s="55" t="s">
        <v>140</v>
      </c>
      <c r="G618" s="250"/>
      <c r="H618" s="104"/>
      <c r="I618" s="104"/>
      <c r="J618" s="180"/>
      <c r="K618" s="189"/>
      <c r="L618" s="189"/>
      <c r="M618" s="59"/>
      <c r="N618" s="65"/>
      <c r="O618" s="65"/>
      <c r="P618" s="374"/>
      <c r="Q618" s="375"/>
    </row>
    <row r="619" spans="1:17" ht="12.75" hidden="1">
      <c r="A619" s="270" t="s">
        <v>309</v>
      </c>
      <c r="B619" s="48" t="s">
        <v>134</v>
      </c>
      <c r="C619" s="53" t="s">
        <v>180</v>
      </c>
      <c r="D619" s="53" t="s">
        <v>135</v>
      </c>
      <c r="E619" s="53" t="s">
        <v>219</v>
      </c>
      <c r="F619" s="55" t="s">
        <v>140</v>
      </c>
      <c r="G619" s="250"/>
      <c r="H619" s="104"/>
      <c r="I619" s="104"/>
      <c r="J619" s="180"/>
      <c r="K619" s="189"/>
      <c r="L619" s="189"/>
      <c r="M619" s="59"/>
      <c r="N619" s="65"/>
      <c r="O619" s="65"/>
      <c r="P619" s="374"/>
      <c r="Q619" s="375"/>
    </row>
    <row r="620" spans="1:17" ht="12.75" hidden="1">
      <c r="A620" s="270" t="s">
        <v>309</v>
      </c>
      <c r="B620" s="48" t="s">
        <v>134</v>
      </c>
      <c r="C620" s="53" t="s">
        <v>180</v>
      </c>
      <c r="D620" s="53" t="s">
        <v>135</v>
      </c>
      <c r="E620" s="53" t="s">
        <v>310</v>
      </c>
      <c r="F620" s="55" t="s">
        <v>140</v>
      </c>
      <c r="G620" s="250"/>
      <c r="H620" s="104"/>
      <c r="I620" s="104"/>
      <c r="J620" s="180"/>
      <c r="K620" s="189"/>
      <c r="L620" s="189"/>
      <c r="M620" s="59"/>
      <c r="N620" s="65"/>
      <c r="O620" s="65"/>
      <c r="P620" s="374"/>
      <c r="Q620" s="375"/>
    </row>
    <row r="621" spans="1:17" ht="12.75" hidden="1">
      <c r="A621" s="270" t="s">
        <v>159</v>
      </c>
      <c r="B621" s="48" t="s">
        <v>134</v>
      </c>
      <c r="C621" s="53" t="s">
        <v>180</v>
      </c>
      <c r="D621" s="53" t="s">
        <v>135</v>
      </c>
      <c r="E621" s="53" t="s">
        <v>219</v>
      </c>
      <c r="F621" s="55" t="s">
        <v>140</v>
      </c>
      <c r="G621" s="250">
        <f>G622</f>
        <v>0</v>
      </c>
      <c r="H621" s="104">
        <f>H622</f>
        <v>0</v>
      </c>
      <c r="I621" s="104">
        <f>I622</f>
        <v>0</v>
      </c>
      <c r="J621" s="180">
        <f>J622</f>
        <v>0</v>
      </c>
      <c r="K621" s="189">
        <f>K622</f>
        <v>0</v>
      </c>
      <c r="L621" s="189"/>
      <c r="M621" s="59"/>
      <c r="N621" s="65"/>
      <c r="O621" s="65"/>
      <c r="P621" s="374"/>
      <c r="Q621" s="375"/>
    </row>
    <row r="622" spans="1:17" ht="12.75" hidden="1">
      <c r="A622" s="270" t="s">
        <v>160</v>
      </c>
      <c r="B622" s="48" t="s">
        <v>134</v>
      </c>
      <c r="C622" s="53" t="s">
        <v>180</v>
      </c>
      <c r="D622" s="53" t="s">
        <v>135</v>
      </c>
      <c r="E622" s="53" t="s">
        <v>219</v>
      </c>
      <c r="F622" s="55" t="s">
        <v>140</v>
      </c>
      <c r="G622" s="250"/>
      <c r="H622" s="104"/>
      <c r="I622" s="104"/>
      <c r="J622" s="180"/>
      <c r="K622" s="189"/>
      <c r="L622" s="189"/>
      <c r="M622" s="59"/>
      <c r="N622" s="65"/>
      <c r="O622" s="65"/>
      <c r="P622" s="374"/>
      <c r="Q622" s="375"/>
    </row>
    <row r="623" spans="1:17" ht="0.75" customHeight="1" hidden="1">
      <c r="A623" s="270" t="s">
        <v>311</v>
      </c>
      <c r="B623" s="48"/>
      <c r="C623" s="49" t="s">
        <v>180</v>
      </c>
      <c r="D623" s="49" t="s">
        <v>131</v>
      </c>
      <c r="E623" s="49" t="s">
        <v>132</v>
      </c>
      <c r="F623" s="51" t="s">
        <v>133</v>
      </c>
      <c r="G623" s="250">
        <f>G624+G639</f>
        <v>17500</v>
      </c>
      <c r="H623" s="104">
        <f>H624+H639</f>
        <v>17500</v>
      </c>
      <c r="I623" s="104">
        <f>I624+I639</f>
        <v>17500</v>
      </c>
      <c r="J623" s="180">
        <f>J624+J639</f>
        <v>17500</v>
      </c>
      <c r="K623" s="189">
        <f>K624+K639</f>
        <v>17500</v>
      </c>
      <c r="L623" s="189"/>
      <c r="M623" s="59"/>
      <c r="N623" s="65"/>
      <c r="O623" s="65"/>
      <c r="P623" s="374"/>
      <c r="Q623" s="375"/>
    </row>
    <row r="624" spans="1:17" ht="12.75" hidden="1">
      <c r="A624" s="270" t="s">
        <v>141</v>
      </c>
      <c r="B624" s="48"/>
      <c r="C624" s="49" t="s">
        <v>180</v>
      </c>
      <c r="D624" s="49" t="s">
        <v>131</v>
      </c>
      <c r="E624" s="49" t="s">
        <v>132</v>
      </c>
      <c r="F624" s="51" t="s">
        <v>133</v>
      </c>
      <c r="G624" s="250">
        <f>G625+G629+G636+G638</f>
        <v>17500</v>
      </c>
      <c r="H624" s="104">
        <f>H625+H629+H636+H638</f>
        <v>17500</v>
      </c>
      <c r="I624" s="104">
        <f>I625+I629+I636+I638</f>
        <v>17500</v>
      </c>
      <c r="J624" s="180">
        <f>J625+J629+J636+J638</f>
        <v>17500</v>
      </c>
      <c r="K624" s="189">
        <f>K625+K629+K636+K638</f>
        <v>17500</v>
      </c>
      <c r="L624" s="189"/>
      <c r="M624" s="59"/>
      <c r="N624" s="65"/>
      <c r="O624" s="65"/>
      <c r="P624" s="374"/>
      <c r="Q624" s="375"/>
    </row>
    <row r="625" spans="1:17" ht="12.75" hidden="1">
      <c r="A625" s="270" t="s">
        <v>142</v>
      </c>
      <c r="B625" s="48"/>
      <c r="C625" s="49" t="s">
        <v>180</v>
      </c>
      <c r="D625" s="49" t="s">
        <v>131</v>
      </c>
      <c r="E625" s="49" t="s">
        <v>132</v>
      </c>
      <c r="F625" s="51" t="s">
        <v>133</v>
      </c>
      <c r="G625" s="250">
        <f>SUM(G626:G628)</f>
        <v>0</v>
      </c>
      <c r="H625" s="104">
        <f>SUM(H626:H628)</f>
        <v>0</v>
      </c>
      <c r="I625" s="104">
        <f>SUM(I626:I628)</f>
        <v>0</v>
      </c>
      <c r="J625" s="180">
        <f>SUM(J626:J628)</f>
        <v>0</v>
      </c>
      <c r="K625" s="189">
        <f>SUM(K626:K628)</f>
        <v>0</v>
      </c>
      <c r="L625" s="189"/>
      <c r="M625" s="59"/>
      <c r="N625" s="65"/>
      <c r="O625" s="65"/>
      <c r="P625" s="374"/>
      <c r="Q625" s="375"/>
    </row>
    <row r="626" spans="1:17" ht="12.75" hidden="1">
      <c r="A626" s="270" t="s">
        <v>143</v>
      </c>
      <c r="B626" s="48"/>
      <c r="C626" s="49" t="s">
        <v>180</v>
      </c>
      <c r="D626" s="49" t="s">
        <v>131</v>
      </c>
      <c r="E626" s="49" t="s">
        <v>132</v>
      </c>
      <c r="F626" s="51" t="s">
        <v>133</v>
      </c>
      <c r="G626" s="250">
        <v>0</v>
      </c>
      <c r="H626" s="104">
        <v>0</v>
      </c>
      <c r="I626" s="104">
        <v>0</v>
      </c>
      <c r="J626" s="180">
        <v>0</v>
      </c>
      <c r="K626" s="189">
        <v>0</v>
      </c>
      <c r="L626" s="189"/>
      <c r="M626" s="59"/>
      <c r="N626" s="65"/>
      <c r="O626" s="65"/>
      <c r="P626" s="374"/>
      <c r="Q626" s="375"/>
    </row>
    <row r="627" spans="1:17" ht="12" customHeight="1" hidden="1">
      <c r="A627" s="270" t="s">
        <v>144</v>
      </c>
      <c r="B627" s="48"/>
      <c r="C627" s="49" t="s">
        <v>180</v>
      </c>
      <c r="D627" s="49" t="s">
        <v>131</v>
      </c>
      <c r="E627" s="49" t="s">
        <v>132</v>
      </c>
      <c r="F627" s="51" t="s">
        <v>133</v>
      </c>
      <c r="G627" s="250">
        <v>0</v>
      </c>
      <c r="H627" s="104">
        <v>0</v>
      </c>
      <c r="I627" s="104">
        <v>0</v>
      </c>
      <c r="J627" s="180">
        <v>0</v>
      </c>
      <c r="K627" s="189">
        <v>0</v>
      </c>
      <c r="L627" s="189"/>
      <c r="M627" s="59"/>
      <c r="N627" s="65"/>
      <c r="O627" s="65"/>
      <c r="P627" s="374"/>
      <c r="Q627" s="375"/>
    </row>
    <row r="628" spans="1:17" ht="12.75" hidden="1">
      <c r="A628" s="270" t="s">
        <v>145</v>
      </c>
      <c r="B628" s="48"/>
      <c r="C628" s="49" t="s">
        <v>180</v>
      </c>
      <c r="D628" s="49" t="s">
        <v>131</v>
      </c>
      <c r="E628" s="49" t="s">
        <v>132</v>
      </c>
      <c r="F628" s="51" t="s">
        <v>133</v>
      </c>
      <c r="G628" s="250">
        <v>0</v>
      </c>
      <c r="H628" s="104">
        <v>0</v>
      </c>
      <c r="I628" s="104">
        <v>0</v>
      </c>
      <c r="J628" s="180">
        <v>0</v>
      </c>
      <c r="K628" s="189">
        <v>0</v>
      </c>
      <c r="L628" s="189"/>
      <c r="M628" s="59"/>
      <c r="N628" s="65"/>
      <c r="O628" s="65"/>
      <c r="P628" s="374"/>
      <c r="Q628" s="375"/>
    </row>
    <row r="629" spans="1:17" ht="12.75" hidden="1">
      <c r="A629" s="270" t="s">
        <v>153</v>
      </c>
      <c r="B629" s="48"/>
      <c r="C629" s="49" t="s">
        <v>180</v>
      </c>
      <c r="D629" s="49" t="s">
        <v>131</v>
      </c>
      <c r="E629" s="49" t="s">
        <v>132</v>
      </c>
      <c r="F629" s="51" t="s">
        <v>133</v>
      </c>
      <c r="G629" s="250">
        <f>SUM(G630:G635)</f>
        <v>17500</v>
      </c>
      <c r="H629" s="104">
        <f>SUM(H630:H635)</f>
        <v>17500</v>
      </c>
      <c r="I629" s="104">
        <f>SUM(I630:I635)</f>
        <v>17500</v>
      </c>
      <c r="J629" s="180">
        <f>SUM(J630:J635)</f>
        <v>17500</v>
      </c>
      <c r="K629" s="189">
        <f>SUM(K630:K635)</f>
        <v>17500</v>
      </c>
      <c r="L629" s="189"/>
      <c r="M629" s="59"/>
      <c r="N629" s="65"/>
      <c r="O629" s="65"/>
      <c r="P629" s="374"/>
      <c r="Q629" s="375"/>
    </row>
    <row r="630" spans="1:17" ht="12.75" hidden="1">
      <c r="A630" s="270" t="s">
        <v>154</v>
      </c>
      <c r="B630" s="48"/>
      <c r="C630" s="49" t="s">
        <v>180</v>
      </c>
      <c r="D630" s="49" t="s">
        <v>131</v>
      </c>
      <c r="E630" s="49" t="s">
        <v>132</v>
      </c>
      <c r="F630" s="51" t="s">
        <v>133</v>
      </c>
      <c r="G630" s="250">
        <v>0</v>
      </c>
      <c r="H630" s="104">
        <v>0</v>
      </c>
      <c r="I630" s="104">
        <v>0</v>
      </c>
      <c r="J630" s="180">
        <v>0</v>
      </c>
      <c r="K630" s="189">
        <v>0</v>
      </c>
      <c r="L630" s="189"/>
      <c r="M630" s="59"/>
      <c r="N630" s="65"/>
      <c r="O630" s="65"/>
      <c r="P630" s="374"/>
      <c r="Q630" s="375"/>
    </row>
    <row r="631" spans="1:17" ht="12.75" hidden="1">
      <c r="A631" s="270" t="s">
        <v>155</v>
      </c>
      <c r="B631" s="48"/>
      <c r="C631" s="49" t="s">
        <v>180</v>
      </c>
      <c r="D631" s="49" t="s">
        <v>131</v>
      </c>
      <c r="E631" s="49" t="s">
        <v>132</v>
      </c>
      <c r="F631" s="51" t="s">
        <v>133</v>
      </c>
      <c r="G631" s="250">
        <v>0</v>
      </c>
      <c r="H631" s="104">
        <v>0</v>
      </c>
      <c r="I631" s="104">
        <v>0</v>
      </c>
      <c r="J631" s="180">
        <v>0</v>
      </c>
      <c r="K631" s="189">
        <v>0</v>
      </c>
      <c r="L631" s="189"/>
      <c r="M631" s="59"/>
      <c r="N631" s="65"/>
      <c r="O631" s="65"/>
      <c r="P631" s="374"/>
      <c r="Q631" s="375"/>
    </row>
    <row r="632" spans="1:17" ht="12.75" hidden="1">
      <c r="A632" s="270" t="s">
        <v>173</v>
      </c>
      <c r="B632" s="48"/>
      <c r="C632" s="49" t="s">
        <v>180</v>
      </c>
      <c r="D632" s="49" t="s">
        <v>131</v>
      </c>
      <c r="E632" s="49" t="s">
        <v>132</v>
      </c>
      <c r="F632" s="51" t="s">
        <v>133</v>
      </c>
      <c r="G632" s="250">
        <v>0</v>
      </c>
      <c r="H632" s="104">
        <v>0</v>
      </c>
      <c r="I632" s="104">
        <v>0</v>
      </c>
      <c r="J632" s="180">
        <v>0</v>
      </c>
      <c r="K632" s="189">
        <v>0</v>
      </c>
      <c r="L632" s="189"/>
      <c r="M632" s="59"/>
      <c r="N632" s="65"/>
      <c r="O632" s="65"/>
      <c r="P632" s="374"/>
      <c r="Q632" s="375"/>
    </row>
    <row r="633" spans="1:17" ht="12.75" hidden="1">
      <c r="A633" s="270" t="s">
        <v>174</v>
      </c>
      <c r="B633" s="48"/>
      <c r="C633" s="49" t="s">
        <v>180</v>
      </c>
      <c r="D633" s="49" t="s">
        <v>131</v>
      </c>
      <c r="E633" s="49" t="s">
        <v>132</v>
      </c>
      <c r="F633" s="51" t="s">
        <v>133</v>
      </c>
      <c r="G633" s="250">
        <v>0</v>
      </c>
      <c r="H633" s="104">
        <v>0</v>
      </c>
      <c r="I633" s="104">
        <v>0</v>
      </c>
      <c r="J633" s="180">
        <v>0</v>
      </c>
      <c r="K633" s="189">
        <v>0</v>
      </c>
      <c r="L633" s="189"/>
      <c r="M633" s="59"/>
      <c r="N633" s="65"/>
      <c r="O633" s="65"/>
      <c r="P633" s="374"/>
      <c r="Q633" s="375"/>
    </row>
    <row r="634" spans="1:17" ht="12.75" hidden="1">
      <c r="A634" s="270" t="s">
        <v>156</v>
      </c>
      <c r="B634" s="48"/>
      <c r="C634" s="49" t="s">
        <v>180</v>
      </c>
      <c r="D634" s="49" t="s">
        <v>131</v>
      </c>
      <c r="E634" s="49" t="s">
        <v>132</v>
      </c>
      <c r="F634" s="51" t="s">
        <v>133</v>
      </c>
      <c r="G634" s="250">
        <f>G556+G611+G586+G574+G612+G613+G614+G599</f>
        <v>17500</v>
      </c>
      <c r="H634" s="104">
        <f>H556+H611+H586+H574+H612+H613+H614+H599</f>
        <v>17500</v>
      </c>
      <c r="I634" s="104">
        <f>I556+I611+I586+I574+I612+I613+I614+I599</f>
        <v>17500</v>
      </c>
      <c r="J634" s="180">
        <f>J556+J611+J586+J574+J612+J613+J614+J599</f>
        <v>17500</v>
      </c>
      <c r="K634" s="189">
        <f>K556+K611+K586+K574+K612+K613+K614+K599</f>
        <v>17500</v>
      </c>
      <c r="L634" s="189"/>
      <c r="M634" s="59"/>
      <c r="N634" s="65"/>
      <c r="O634" s="65"/>
      <c r="P634" s="374"/>
      <c r="Q634" s="375"/>
    </row>
    <row r="635" spans="1:17" ht="12.75" hidden="1">
      <c r="A635" s="270" t="s">
        <v>157</v>
      </c>
      <c r="B635" s="48"/>
      <c r="C635" s="49" t="s">
        <v>180</v>
      </c>
      <c r="D635" s="49" t="s">
        <v>131</v>
      </c>
      <c r="E635" s="49" t="s">
        <v>132</v>
      </c>
      <c r="F635" s="51" t="s">
        <v>133</v>
      </c>
      <c r="G635" s="250">
        <f>G619+G557+G617+G618+G616+G620+G536+G615+G600</f>
        <v>0</v>
      </c>
      <c r="H635" s="104">
        <f>H619+H557+H617+H618+H616+H620+H536+H615+H600</f>
        <v>0</v>
      </c>
      <c r="I635" s="104">
        <f>I619+I557+I617+I618+I616+I620+I536+I615+I600</f>
        <v>0</v>
      </c>
      <c r="J635" s="180">
        <f>J619+J557+J617+J618+J616+J620+J536+J615+J600</f>
        <v>0</v>
      </c>
      <c r="K635" s="189">
        <f>K619+K557+K617+K618+K616+K620+K536+K615+K600</f>
        <v>0</v>
      </c>
      <c r="L635" s="189"/>
      <c r="M635" s="59"/>
      <c r="N635" s="65"/>
      <c r="O635" s="65"/>
      <c r="P635" s="374"/>
      <c r="Q635" s="375"/>
    </row>
    <row r="636" spans="1:17" ht="16.5" customHeight="1" hidden="1">
      <c r="A636" s="270" t="s">
        <v>293</v>
      </c>
      <c r="B636" s="48"/>
      <c r="C636" s="49" t="s">
        <v>180</v>
      </c>
      <c r="D636" s="49" t="s">
        <v>131</v>
      </c>
      <c r="E636" s="49" t="s">
        <v>132</v>
      </c>
      <c r="F636" s="51" t="s">
        <v>133</v>
      </c>
      <c r="G636" s="250">
        <f>G637</f>
        <v>0</v>
      </c>
      <c r="H636" s="104">
        <f>H637</f>
        <v>0</v>
      </c>
      <c r="I636" s="104">
        <f>I637</f>
        <v>0</v>
      </c>
      <c r="J636" s="180">
        <f>J637</f>
        <v>0</v>
      </c>
      <c r="K636" s="189">
        <f>K637</f>
        <v>0</v>
      </c>
      <c r="L636" s="189"/>
      <c r="M636" s="59"/>
      <c r="N636" s="65"/>
      <c r="O636" s="65"/>
      <c r="P636" s="374"/>
      <c r="Q636" s="375"/>
    </row>
    <row r="637" spans="1:17" ht="25.5" hidden="1">
      <c r="A637" s="270" t="s">
        <v>301</v>
      </c>
      <c r="B637" s="48"/>
      <c r="C637" s="49" t="s">
        <v>180</v>
      </c>
      <c r="D637" s="49" t="s">
        <v>131</v>
      </c>
      <c r="E637" s="49" t="s">
        <v>132</v>
      </c>
      <c r="F637" s="51" t="s">
        <v>133</v>
      </c>
      <c r="G637" s="250">
        <f>G580+G581+G594</f>
        <v>0</v>
      </c>
      <c r="H637" s="104">
        <f>H580+H581+H594</f>
        <v>0</v>
      </c>
      <c r="I637" s="104">
        <f>I580+I581+I594</f>
        <v>0</v>
      </c>
      <c r="J637" s="180">
        <f>J580+J581+J594</f>
        <v>0</v>
      </c>
      <c r="K637" s="189">
        <f>K580+K581+K594</f>
        <v>0</v>
      </c>
      <c r="L637" s="189"/>
      <c r="M637" s="59"/>
      <c r="N637" s="65"/>
      <c r="O637" s="65"/>
      <c r="P637" s="374"/>
      <c r="Q637" s="375"/>
    </row>
    <row r="638" spans="1:17" ht="12.75" hidden="1">
      <c r="A638" s="270" t="s">
        <v>158</v>
      </c>
      <c r="B638" s="48"/>
      <c r="C638" s="49" t="s">
        <v>180</v>
      </c>
      <c r="D638" s="49" t="s">
        <v>131</v>
      </c>
      <c r="E638" s="49" t="s">
        <v>132</v>
      </c>
      <c r="F638" s="51" t="s">
        <v>133</v>
      </c>
      <c r="G638" s="250">
        <v>0</v>
      </c>
      <c r="H638" s="104">
        <v>0</v>
      </c>
      <c r="I638" s="104">
        <v>0</v>
      </c>
      <c r="J638" s="180">
        <v>0</v>
      </c>
      <c r="K638" s="189">
        <v>0</v>
      </c>
      <c r="L638" s="189"/>
      <c r="M638" s="59"/>
      <c r="N638" s="65"/>
      <c r="O638" s="65"/>
      <c r="P638" s="374"/>
      <c r="Q638" s="375"/>
    </row>
    <row r="639" spans="1:17" ht="12.75" hidden="1">
      <c r="A639" s="270" t="s">
        <v>159</v>
      </c>
      <c r="B639" s="48"/>
      <c r="C639" s="49" t="s">
        <v>180</v>
      </c>
      <c r="D639" s="49" t="s">
        <v>131</v>
      </c>
      <c r="E639" s="49" t="s">
        <v>132</v>
      </c>
      <c r="F639" s="51" t="s">
        <v>133</v>
      </c>
      <c r="G639" s="250">
        <f>SUM(G640:G641)</f>
        <v>0</v>
      </c>
      <c r="H639" s="104">
        <f>SUM(H640:H641)</f>
        <v>0</v>
      </c>
      <c r="I639" s="104">
        <f>SUM(I640:I641)</f>
        <v>0</v>
      </c>
      <c r="J639" s="180">
        <f>SUM(J640:J641)</f>
        <v>0</v>
      </c>
      <c r="K639" s="189">
        <f>SUM(K640:K641)</f>
        <v>0</v>
      </c>
      <c r="L639" s="189"/>
      <c r="M639" s="59"/>
      <c r="N639" s="65"/>
      <c r="O639" s="65"/>
      <c r="P639" s="374"/>
      <c r="Q639" s="375"/>
    </row>
    <row r="640" spans="1:17" ht="12.75" hidden="1">
      <c r="A640" s="270" t="s">
        <v>160</v>
      </c>
      <c r="B640" s="48"/>
      <c r="C640" s="49" t="s">
        <v>180</v>
      </c>
      <c r="D640" s="49" t="s">
        <v>131</v>
      </c>
      <c r="E640" s="49" t="s">
        <v>132</v>
      </c>
      <c r="F640" s="51" t="s">
        <v>133</v>
      </c>
      <c r="G640" s="250">
        <f>G622+G559+G588+G539+G544+G551</f>
        <v>0</v>
      </c>
      <c r="H640" s="104">
        <f>H622+H559+H588+H539+H544+H551</f>
        <v>0</v>
      </c>
      <c r="I640" s="104">
        <f>I622+I559+I588+I539+I544+I551</f>
        <v>0</v>
      </c>
      <c r="J640" s="180">
        <f>J622+J559+J588+J539+J544+J551</f>
        <v>0</v>
      </c>
      <c r="K640" s="189">
        <f>K622+K559+K588+K539+K544+K551</f>
        <v>0</v>
      </c>
      <c r="L640" s="189"/>
      <c r="M640" s="59"/>
      <c r="N640" s="65"/>
      <c r="O640" s="65"/>
      <c r="P640" s="374"/>
      <c r="Q640" s="375"/>
    </row>
    <row r="641" spans="1:17" ht="12.75" hidden="1">
      <c r="A641" s="270" t="s">
        <v>161</v>
      </c>
      <c r="B641" s="48"/>
      <c r="C641" s="49" t="s">
        <v>180</v>
      </c>
      <c r="D641" s="49" t="s">
        <v>131</v>
      </c>
      <c r="E641" s="49" t="s">
        <v>132</v>
      </c>
      <c r="F641" s="51" t="s">
        <v>133</v>
      </c>
      <c r="G641" s="250">
        <v>0</v>
      </c>
      <c r="H641" s="104">
        <v>0</v>
      </c>
      <c r="I641" s="104">
        <v>0</v>
      </c>
      <c r="J641" s="180">
        <v>0</v>
      </c>
      <c r="K641" s="189">
        <v>0</v>
      </c>
      <c r="L641" s="189"/>
      <c r="M641" s="59"/>
      <c r="N641" s="65"/>
      <c r="O641" s="65"/>
      <c r="P641" s="374"/>
      <c r="Q641" s="375"/>
    </row>
    <row r="642" spans="1:17" ht="19.5" customHeight="1" hidden="1">
      <c r="A642" s="270" t="s">
        <v>217</v>
      </c>
      <c r="B642" s="48"/>
      <c r="C642" s="49" t="s">
        <v>180</v>
      </c>
      <c r="D642" s="49" t="s">
        <v>131</v>
      </c>
      <c r="E642" s="49" t="s">
        <v>132</v>
      </c>
      <c r="F642" s="51" t="s">
        <v>133</v>
      </c>
      <c r="G642" s="250">
        <f>G626+G627+G628+G630+G631+G632+G633+G634+G635+G637+G638+G640+G641</f>
        <v>17500</v>
      </c>
      <c r="H642" s="104">
        <f>H626+H627+H628+H630+H631+H632+H633+H634+H635+H637+H638+H640+H641</f>
        <v>17500</v>
      </c>
      <c r="I642" s="104">
        <f>I626+I627+I628+I630+I631+I632+I633+I634+I635+I637+I638+I640+I641</f>
        <v>17500</v>
      </c>
      <c r="J642" s="180">
        <f>J626+J627+J628+J630+J631+J632+J633+J634+J635+J637+J638+J640+J641</f>
        <v>17500</v>
      </c>
      <c r="K642" s="189">
        <f>K626+K627+K628+K630+K631+K632+K633+K634+K635+K637+K638+K640+K641</f>
        <v>17500</v>
      </c>
      <c r="L642" s="189"/>
      <c r="M642" s="59"/>
      <c r="N642" s="65"/>
      <c r="O642" s="65"/>
      <c r="P642" s="374"/>
      <c r="Q642" s="375"/>
    </row>
    <row r="643" spans="1:17" ht="0.75" customHeight="1" hidden="1">
      <c r="A643" s="270" t="s">
        <v>139</v>
      </c>
      <c r="B643" s="48" t="s">
        <v>134</v>
      </c>
      <c r="C643" s="53" t="s">
        <v>180</v>
      </c>
      <c r="D643" s="53" t="s">
        <v>135</v>
      </c>
      <c r="E643" s="53" t="s">
        <v>306</v>
      </c>
      <c r="F643" s="55" t="s">
        <v>140</v>
      </c>
      <c r="G643" s="250">
        <f aca="true" t="shared" si="103" ref="G643:M644">G644</f>
        <v>2000</v>
      </c>
      <c r="H643" s="104">
        <f t="shared" si="103"/>
        <v>2000</v>
      </c>
      <c r="I643" s="104">
        <f t="shared" si="103"/>
        <v>2000</v>
      </c>
      <c r="J643" s="180">
        <f t="shared" si="103"/>
        <v>-487.057</v>
      </c>
      <c r="K643" s="189">
        <f t="shared" si="103"/>
        <v>1512.943</v>
      </c>
      <c r="L643" s="189"/>
      <c r="M643" s="59"/>
      <c r="N643" s="65"/>
      <c r="O643" s="65"/>
      <c r="P643" s="374"/>
      <c r="Q643" s="375"/>
    </row>
    <row r="644" spans="1:17" ht="16.5" customHeight="1">
      <c r="A644" s="271" t="s">
        <v>80</v>
      </c>
      <c r="B644" s="99" t="s">
        <v>134</v>
      </c>
      <c r="C644" s="53" t="s">
        <v>180</v>
      </c>
      <c r="D644" s="53" t="s">
        <v>135</v>
      </c>
      <c r="E644" s="53" t="s">
        <v>436</v>
      </c>
      <c r="F644" s="55" t="s">
        <v>77</v>
      </c>
      <c r="G644" s="250">
        <f t="shared" si="103"/>
        <v>2000</v>
      </c>
      <c r="H644" s="104">
        <f t="shared" si="103"/>
        <v>2000</v>
      </c>
      <c r="I644" s="104">
        <f t="shared" si="103"/>
        <v>2000</v>
      </c>
      <c r="J644" s="180">
        <f t="shared" si="103"/>
        <v>-487.057</v>
      </c>
      <c r="K644" s="189">
        <f t="shared" si="103"/>
        <v>1512.943</v>
      </c>
      <c r="L644" s="180">
        <f t="shared" si="103"/>
        <v>-499.276</v>
      </c>
      <c r="M644" s="180">
        <f t="shared" si="103"/>
        <v>-360.194</v>
      </c>
      <c r="N644" s="202">
        <f>N645</f>
        <v>0</v>
      </c>
      <c r="O644" s="202">
        <f>O645</f>
        <v>2000</v>
      </c>
      <c r="P644" s="374">
        <f>P645</f>
        <v>2000</v>
      </c>
      <c r="Q644" s="375">
        <f>Q645</f>
        <v>2000</v>
      </c>
    </row>
    <row r="645" spans="1:17" ht="12.75" hidden="1">
      <c r="A645" s="270"/>
      <c r="B645" s="48"/>
      <c r="C645" s="53"/>
      <c r="D645" s="53"/>
      <c r="E645" s="53"/>
      <c r="F645" s="55" t="s">
        <v>166</v>
      </c>
      <c r="G645" s="250">
        <v>2000</v>
      </c>
      <c r="H645" s="104">
        <v>2000</v>
      </c>
      <c r="I645" s="104">
        <v>2000</v>
      </c>
      <c r="J645" s="180">
        <f>-846.057+359</f>
        <v>-487.057</v>
      </c>
      <c r="K645" s="189">
        <f>G645+J645</f>
        <v>1512.943</v>
      </c>
      <c r="L645" s="189">
        <f>-50-359-90.273-0.003</f>
        <v>-499.276</v>
      </c>
      <c r="M645" s="59">
        <v>-360.194</v>
      </c>
      <c r="N645" s="202"/>
      <c r="O645" s="202">
        <v>2000</v>
      </c>
      <c r="P645" s="374">
        <v>2000</v>
      </c>
      <c r="Q645" s="375">
        <v>2000</v>
      </c>
    </row>
    <row r="646" spans="1:17" ht="12.75" hidden="1">
      <c r="A646" s="301" t="s">
        <v>90</v>
      </c>
      <c r="B646" s="66" t="s">
        <v>226</v>
      </c>
      <c r="C646" s="53" t="s">
        <v>180</v>
      </c>
      <c r="D646" s="53" t="s">
        <v>135</v>
      </c>
      <c r="E646" s="53" t="s">
        <v>306</v>
      </c>
      <c r="F646" s="69" t="s">
        <v>83</v>
      </c>
      <c r="G646" s="250">
        <f aca="true" t="shared" si="104" ref="G646:Q646">G647</f>
        <v>0</v>
      </c>
      <c r="H646" s="104">
        <f t="shared" si="104"/>
        <v>0</v>
      </c>
      <c r="I646" s="104">
        <f t="shared" si="104"/>
        <v>0</v>
      </c>
      <c r="J646" s="180">
        <f t="shared" si="104"/>
        <v>309.937</v>
      </c>
      <c r="K646" s="189">
        <f t="shared" si="104"/>
        <v>309.937</v>
      </c>
      <c r="L646" s="180">
        <f t="shared" si="104"/>
        <v>449.273</v>
      </c>
      <c r="M646" s="180">
        <f t="shared" si="104"/>
        <v>65</v>
      </c>
      <c r="N646" s="202">
        <f t="shared" si="104"/>
        <v>0</v>
      </c>
      <c r="O646" s="202">
        <f t="shared" si="104"/>
        <v>0</v>
      </c>
      <c r="P646" s="374">
        <f t="shared" si="104"/>
        <v>0</v>
      </c>
      <c r="Q646" s="375">
        <f t="shared" si="104"/>
        <v>0</v>
      </c>
    </row>
    <row r="647" spans="1:17" ht="12.75" hidden="1">
      <c r="A647" s="281"/>
      <c r="B647" s="66"/>
      <c r="C647" s="67"/>
      <c r="D647" s="67"/>
      <c r="E647" s="101"/>
      <c r="F647" s="69" t="s">
        <v>166</v>
      </c>
      <c r="G647" s="250"/>
      <c r="H647" s="104"/>
      <c r="I647" s="104"/>
      <c r="J647" s="180">
        <v>309.937</v>
      </c>
      <c r="K647" s="189">
        <f>G647+J647</f>
        <v>309.937</v>
      </c>
      <c r="L647" s="189">
        <f>359+90.273</f>
        <v>449.273</v>
      </c>
      <c r="M647" s="59">
        <v>65</v>
      </c>
      <c r="N647" s="65"/>
      <c r="O647" s="65"/>
      <c r="P647" s="374"/>
      <c r="Q647" s="375"/>
    </row>
    <row r="648" spans="1:17" ht="12.75" hidden="1">
      <c r="A648" s="301" t="s">
        <v>90</v>
      </c>
      <c r="B648" s="66" t="s">
        <v>265</v>
      </c>
      <c r="C648" s="53" t="s">
        <v>180</v>
      </c>
      <c r="D648" s="53" t="s">
        <v>135</v>
      </c>
      <c r="E648" s="53" t="s">
        <v>306</v>
      </c>
      <c r="F648" s="69" t="s">
        <v>83</v>
      </c>
      <c r="G648" s="250">
        <f aca="true" t="shared" si="105" ref="G648:Q648">G649</f>
        <v>0</v>
      </c>
      <c r="H648" s="104">
        <f t="shared" si="105"/>
        <v>0</v>
      </c>
      <c r="I648" s="104">
        <f t="shared" si="105"/>
        <v>0</v>
      </c>
      <c r="J648" s="180">
        <f t="shared" si="105"/>
        <v>219.213</v>
      </c>
      <c r="K648" s="189">
        <f t="shared" si="105"/>
        <v>219.213</v>
      </c>
      <c r="L648" s="180">
        <f t="shared" si="105"/>
        <v>0</v>
      </c>
      <c r="M648" s="180">
        <f t="shared" si="105"/>
        <v>295.194</v>
      </c>
      <c r="N648" s="202">
        <f t="shared" si="105"/>
        <v>0</v>
      </c>
      <c r="O648" s="202">
        <f t="shared" si="105"/>
        <v>0</v>
      </c>
      <c r="P648" s="374">
        <f t="shared" si="105"/>
        <v>0</v>
      </c>
      <c r="Q648" s="375">
        <f t="shared" si="105"/>
        <v>0</v>
      </c>
    </row>
    <row r="649" spans="1:17" ht="12.75" hidden="1">
      <c r="A649" s="281"/>
      <c r="B649" s="66"/>
      <c r="C649" s="67"/>
      <c r="D649" s="67"/>
      <c r="E649" s="101"/>
      <c r="F649" s="69" t="s">
        <v>166</v>
      </c>
      <c r="G649" s="250"/>
      <c r="H649" s="104"/>
      <c r="I649" s="104"/>
      <c r="J649" s="180">
        <v>219.213</v>
      </c>
      <c r="K649" s="189">
        <f>G649+J649</f>
        <v>219.213</v>
      </c>
      <c r="L649" s="189"/>
      <c r="M649" s="59">
        <v>295.194</v>
      </c>
      <c r="N649" s="65"/>
      <c r="O649" s="65"/>
      <c r="P649" s="374"/>
      <c r="Q649" s="375"/>
    </row>
    <row r="650" spans="1:17" ht="25.5">
      <c r="A650" s="270" t="s">
        <v>613</v>
      </c>
      <c r="B650" s="66" t="s">
        <v>133</v>
      </c>
      <c r="C650" s="92" t="s">
        <v>180</v>
      </c>
      <c r="D650" s="92" t="s">
        <v>135</v>
      </c>
      <c r="E650" s="92" t="s">
        <v>437</v>
      </c>
      <c r="F650" s="94"/>
      <c r="G650" s="248">
        <f aca="true" t="shared" si="106" ref="G650:M650">G651+G653</f>
        <v>2000</v>
      </c>
      <c r="H650" s="159">
        <f t="shared" si="106"/>
        <v>2000</v>
      </c>
      <c r="I650" s="159">
        <f t="shared" si="106"/>
        <v>2000</v>
      </c>
      <c r="J650" s="182">
        <f t="shared" si="106"/>
        <v>76</v>
      </c>
      <c r="K650" s="187">
        <f t="shared" si="106"/>
        <v>2076</v>
      </c>
      <c r="L650" s="182">
        <f t="shared" si="106"/>
        <v>-1076</v>
      </c>
      <c r="M650" s="182">
        <f t="shared" si="106"/>
        <v>873.75</v>
      </c>
      <c r="N650" s="201">
        <f>N651+N653+N655</f>
        <v>0</v>
      </c>
      <c r="O650" s="201">
        <f>O651+O653+O655</f>
        <v>57367.74</v>
      </c>
      <c r="P650" s="370">
        <f>P651+P653+P655</f>
        <v>55481.66</v>
      </c>
      <c r="Q650" s="371">
        <f>Q651+Q653+Q655</f>
        <v>55398.77</v>
      </c>
    </row>
    <row r="651" spans="1:17" ht="16.5" customHeight="1">
      <c r="A651" s="271" t="s">
        <v>80</v>
      </c>
      <c r="B651" s="99" t="s">
        <v>134</v>
      </c>
      <c r="C651" s="53" t="s">
        <v>180</v>
      </c>
      <c r="D651" s="53" t="s">
        <v>135</v>
      </c>
      <c r="E651" s="53" t="s">
        <v>437</v>
      </c>
      <c r="F651" s="55" t="s">
        <v>77</v>
      </c>
      <c r="G651" s="250">
        <f aca="true" t="shared" si="107" ref="G651:Q651">G652</f>
        <v>2000</v>
      </c>
      <c r="H651" s="104">
        <f t="shared" si="107"/>
        <v>2000</v>
      </c>
      <c r="I651" s="104">
        <f t="shared" si="107"/>
        <v>2000</v>
      </c>
      <c r="J651" s="180">
        <f t="shared" si="107"/>
        <v>76</v>
      </c>
      <c r="K651" s="189">
        <f t="shared" si="107"/>
        <v>2076</v>
      </c>
      <c r="L651" s="180">
        <f t="shared" si="107"/>
        <v>-2076</v>
      </c>
      <c r="M651" s="180">
        <f t="shared" si="107"/>
        <v>1286</v>
      </c>
      <c r="N651" s="202">
        <f t="shared" si="107"/>
        <v>0</v>
      </c>
      <c r="O651" s="202">
        <f t="shared" si="107"/>
        <v>4000</v>
      </c>
      <c r="P651" s="374">
        <f t="shared" si="107"/>
        <v>4000</v>
      </c>
      <c r="Q651" s="375">
        <f t="shared" si="107"/>
        <v>4000</v>
      </c>
    </row>
    <row r="652" spans="1:17" ht="12.75" hidden="1">
      <c r="A652" s="270"/>
      <c r="B652" s="48"/>
      <c r="C652" s="53"/>
      <c r="D652" s="53"/>
      <c r="E652" s="53"/>
      <c r="F652" s="55" t="s">
        <v>166</v>
      </c>
      <c r="G652" s="250">
        <v>2000</v>
      </c>
      <c r="H652" s="104">
        <v>2000</v>
      </c>
      <c r="I652" s="104">
        <v>2000</v>
      </c>
      <c r="J652" s="180">
        <f>-1500+1576</f>
        <v>76</v>
      </c>
      <c r="K652" s="189">
        <f>G652+J652</f>
        <v>2076</v>
      </c>
      <c r="L652" s="189">
        <f>-1076-1000</f>
        <v>-2076</v>
      </c>
      <c r="M652" s="59">
        <v>1286</v>
      </c>
      <c r="N652" s="65"/>
      <c r="O652" s="65">
        <v>4000</v>
      </c>
      <c r="P652" s="374">
        <v>4000</v>
      </c>
      <c r="Q652" s="375">
        <v>4000</v>
      </c>
    </row>
    <row r="653" spans="1:17" ht="16.5" customHeight="1">
      <c r="A653" s="299" t="s">
        <v>90</v>
      </c>
      <c r="B653" s="99" t="s">
        <v>226</v>
      </c>
      <c r="C653" s="53" t="s">
        <v>180</v>
      </c>
      <c r="D653" s="53" t="s">
        <v>135</v>
      </c>
      <c r="E653" s="53" t="s">
        <v>438</v>
      </c>
      <c r="F653" s="55" t="s">
        <v>83</v>
      </c>
      <c r="G653" s="250">
        <f aca="true" t="shared" si="108" ref="G653:Q653">G654</f>
        <v>0</v>
      </c>
      <c r="H653" s="104">
        <f t="shared" si="108"/>
        <v>0</v>
      </c>
      <c r="I653" s="104">
        <f t="shared" si="108"/>
        <v>0</v>
      </c>
      <c r="J653" s="180">
        <f t="shared" si="108"/>
        <v>0</v>
      </c>
      <c r="K653" s="189">
        <f t="shared" si="108"/>
        <v>0</v>
      </c>
      <c r="L653" s="189">
        <f t="shared" si="108"/>
        <v>1000</v>
      </c>
      <c r="M653" s="189">
        <f t="shared" si="108"/>
        <v>-412.25</v>
      </c>
      <c r="N653" s="189">
        <f t="shared" si="108"/>
        <v>0</v>
      </c>
      <c r="O653" s="59">
        <f t="shared" si="108"/>
        <v>45433.74</v>
      </c>
      <c r="P653" s="374">
        <f t="shared" si="108"/>
        <v>43547.66</v>
      </c>
      <c r="Q653" s="375">
        <f t="shared" si="108"/>
        <v>43464.77</v>
      </c>
    </row>
    <row r="654" spans="1:17" ht="13.5" hidden="1" thickBot="1">
      <c r="A654" s="272"/>
      <c r="B654" s="26"/>
      <c r="C654" s="56"/>
      <c r="D654" s="56"/>
      <c r="E654" s="56"/>
      <c r="F654" s="58" t="s">
        <v>166</v>
      </c>
      <c r="G654" s="249"/>
      <c r="H654" s="220"/>
      <c r="I654" s="220"/>
      <c r="J654" s="222"/>
      <c r="K654" s="223">
        <f>G654+J654</f>
        <v>0</v>
      </c>
      <c r="L654" s="223">
        <v>1000</v>
      </c>
      <c r="M654" s="100">
        <v>-412.25</v>
      </c>
      <c r="N654" s="137"/>
      <c r="O654" s="137">
        <v>45433.74</v>
      </c>
      <c r="P654" s="400">
        <v>43547.66</v>
      </c>
      <c r="Q654" s="401">
        <v>43464.77</v>
      </c>
    </row>
    <row r="655" spans="1:17" ht="16.5" customHeight="1" thickBot="1">
      <c r="A655" s="301" t="s">
        <v>90</v>
      </c>
      <c r="B655" s="143" t="s">
        <v>265</v>
      </c>
      <c r="C655" s="56" t="s">
        <v>180</v>
      </c>
      <c r="D655" s="56" t="s">
        <v>135</v>
      </c>
      <c r="E655" s="56" t="s">
        <v>437</v>
      </c>
      <c r="F655" s="58" t="s">
        <v>83</v>
      </c>
      <c r="G655" s="111"/>
      <c r="H655" s="111"/>
      <c r="I655" s="111"/>
      <c r="J655" s="111"/>
      <c r="K655" s="163"/>
      <c r="L655" s="163"/>
      <c r="M655" s="163"/>
      <c r="N655" s="163">
        <f>N656</f>
        <v>0</v>
      </c>
      <c r="O655" s="137">
        <f>O656</f>
        <v>7934</v>
      </c>
      <c r="P655" s="400">
        <v>7934</v>
      </c>
      <c r="Q655" s="401">
        <v>7934</v>
      </c>
    </row>
    <row r="656" spans="1:17" ht="13.5" hidden="1" thickBot="1">
      <c r="A656" s="272"/>
      <c r="B656" s="26"/>
      <c r="C656" s="56"/>
      <c r="D656" s="56"/>
      <c r="E656" s="56"/>
      <c r="F656" s="58" t="s">
        <v>166</v>
      </c>
      <c r="G656" s="111"/>
      <c r="H656" s="111"/>
      <c r="I656" s="111"/>
      <c r="J656" s="111"/>
      <c r="K656" s="163"/>
      <c r="L656" s="163"/>
      <c r="M656" s="163"/>
      <c r="N656" s="163"/>
      <c r="O656" s="137">
        <v>7934</v>
      </c>
      <c r="P656" s="400">
        <v>8588.9</v>
      </c>
      <c r="Q656" s="401">
        <v>8932.5</v>
      </c>
    </row>
    <row r="657" spans="1:17" ht="16.5" customHeight="1" thickBot="1">
      <c r="A657" s="267" t="s">
        <v>110</v>
      </c>
      <c r="B657" s="118" t="s">
        <v>134</v>
      </c>
      <c r="C657" s="119" t="s">
        <v>184</v>
      </c>
      <c r="D657" s="119" t="s">
        <v>131</v>
      </c>
      <c r="E657" s="119"/>
      <c r="F657" s="121"/>
      <c r="G657" s="160">
        <f aca="true" t="shared" si="109" ref="G657:K661">G658</f>
        <v>150</v>
      </c>
      <c r="H657" s="160">
        <f t="shared" si="109"/>
        <v>300</v>
      </c>
      <c r="I657" s="160">
        <f t="shared" si="109"/>
        <v>490</v>
      </c>
      <c r="J657" s="160">
        <f t="shared" si="109"/>
        <v>350</v>
      </c>
      <c r="K657" s="181">
        <f t="shared" si="109"/>
        <v>500</v>
      </c>
      <c r="L657" s="181">
        <f aca="true" t="shared" si="110" ref="L657:Q658">L658</f>
        <v>-160</v>
      </c>
      <c r="M657" s="181">
        <f t="shared" si="110"/>
        <v>0</v>
      </c>
      <c r="N657" s="181">
        <f t="shared" si="110"/>
        <v>0</v>
      </c>
      <c r="O657" s="160">
        <f t="shared" si="110"/>
        <v>290</v>
      </c>
      <c r="P657" s="402">
        <f t="shared" si="110"/>
        <v>390</v>
      </c>
      <c r="Q657" s="403">
        <f t="shared" si="110"/>
        <v>490</v>
      </c>
    </row>
    <row r="658" spans="1:17" ht="16.5" customHeight="1">
      <c r="A658" s="272" t="s">
        <v>89</v>
      </c>
      <c r="B658" s="26" t="s">
        <v>134</v>
      </c>
      <c r="C658" s="27" t="s">
        <v>184</v>
      </c>
      <c r="D658" s="27" t="s">
        <v>180</v>
      </c>
      <c r="E658" s="27"/>
      <c r="F658" s="28"/>
      <c r="G658" s="155">
        <f t="shared" si="109"/>
        <v>150</v>
      </c>
      <c r="H658" s="155">
        <f t="shared" si="109"/>
        <v>300</v>
      </c>
      <c r="I658" s="155">
        <f t="shared" si="109"/>
        <v>490</v>
      </c>
      <c r="J658" s="155">
        <f t="shared" si="109"/>
        <v>350</v>
      </c>
      <c r="K658" s="167">
        <f t="shared" si="109"/>
        <v>500</v>
      </c>
      <c r="L658" s="167">
        <f t="shared" si="110"/>
        <v>-160</v>
      </c>
      <c r="M658" s="167">
        <f t="shared" si="110"/>
        <v>0</v>
      </c>
      <c r="N658" s="167">
        <f t="shared" si="110"/>
        <v>0</v>
      </c>
      <c r="O658" s="155">
        <f t="shared" si="110"/>
        <v>290</v>
      </c>
      <c r="P658" s="396">
        <f t="shared" si="110"/>
        <v>390</v>
      </c>
      <c r="Q658" s="397">
        <f t="shared" si="110"/>
        <v>490</v>
      </c>
    </row>
    <row r="659" spans="1:17" ht="16.5" customHeight="1">
      <c r="A659" s="270" t="s">
        <v>402</v>
      </c>
      <c r="B659" s="48" t="s">
        <v>134</v>
      </c>
      <c r="C659" s="49" t="s">
        <v>184</v>
      </c>
      <c r="D659" s="49" t="s">
        <v>180</v>
      </c>
      <c r="E659" s="49" t="s">
        <v>219</v>
      </c>
      <c r="F659" s="51"/>
      <c r="G659" s="71">
        <f aca="true" t="shared" si="111" ref="G659:O659">G661</f>
        <v>150</v>
      </c>
      <c r="H659" s="71">
        <f t="shared" si="111"/>
        <v>300</v>
      </c>
      <c r="I659" s="71">
        <f t="shared" si="111"/>
        <v>490</v>
      </c>
      <c r="J659" s="71">
        <f t="shared" si="111"/>
        <v>350</v>
      </c>
      <c r="K659" s="173">
        <f t="shared" si="111"/>
        <v>500</v>
      </c>
      <c r="L659" s="173">
        <f t="shared" si="111"/>
        <v>-160</v>
      </c>
      <c r="M659" s="173">
        <f t="shared" si="111"/>
        <v>0</v>
      </c>
      <c r="N659" s="173">
        <f t="shared" si="111"/>
        <v>0</v>
      </c>
      <c r="O659" s="71">
        <f t="shared" si="111"/>
        <v>290</v>
      </c>
      <c r="P659" s="370">
        <f>P661</f>
        <v>390</v>
      </c>
      <c r="Q659" s="371">
        <f>Q661</f>
        <v>490</v>
      </c>
    </row>
    <row r="660" spans="1:17" ht="25.5">
      <c r="A660" s="275" t="s">
        <v>432</v>
      </c>
      <c r="B660" s="48" t="s">
        <v>134</v>
      </c>
      <c r="C660" s="49" t="s">
        <v>184</v>
      </c>
      <c r="D660" s="49" t="s">
        <v>180</v>
      </c>
      <c r="E660" s="49" t="s">
        <v>339</v>
      </c>
      <c r="F660" s="51"/>
      <c r="G660" s="134"/>
      <c r="H660" s="134"/>
      <c r="I660" s="134"/>
      <c r="J660" s="134"/>
      <c r="K660" s="161"/>
      <c r="L660" s="161"/>
      <c r="M660" s="161"/>
      <c r="N660" s="161">
        <f>N661</f>
        <v>0</v>
      </c>
      <c r="O660" s="134">
        <f>O661</f>
        <v>290</v>
      </c>
      <c r="P660" s="394">
        <f>P661</f>
        <v>390</v>
      </c>
      <c r="Q660" s="395">
        <f>Q661</f>
        <v>490</v>
      </c>
    </row>
    <row r="661" spans="1:17" ht="16.5" customHeight="1">
      <c r="A661" s="275" t="s">
        <v>439</v>
      </c>
      <c r="B661" s="48" t="s">
        <v>134</v>
      </c>
      <c r="C661" s="49" t="s">
        <v>184</v>
      </c>
      <c r="D661" s="49" t="s">
        <v>180</v>
      </c>
      <c r="E661" s="49" t="s">
        <v>440</v>
      </c>
      <c r="F661" s="51"/>
      <c r="G661" s="134">
        <f t="shared" si="109"/>
        <v>150</v>
      </c>
      <c r="H661" s="89">
        <f t="shared" si="109"/>
        <v>300</v>
      </c>
      <c r="I661" s="89">
        <f t="shared" si="109"/>
        <v>490</v>
      </c>
      <c r="J661" s="134">
        <f t="shared" si="109"/>
        <v>350</v>
      </c>
      <c r="K661" s="161">
        <f t="shared" si="109"/>
        <v>500</v>
      </c>
      <c r="L661" s="161">
        <f aca="true" t="shared" si="112" ref="L661:Q661">L662</f>
        <v>-160</v>
      </c>
      <c r="M661" s="161">
        <f t="shared" si="112"/>
        <v>0</v>
      </c>
      <c r="N661" s="161">
        <f t="shared" si="112"/>
        <v>0</v>
      </c>
      <c r="O661" s="134">
        <f t="shared" si="112"/>
        <v>290</v>
      </c>
      <c r="P661" s="394">
        <f t="shared" si="112"/>
        <v>390</v>
      </c>
      <c r="Q661" s="395">
        <f t="shared" si="112"/>
        <v>490</v>
      </c>
    </row>
    <row r="662" spans="1:17" ht="16.5" customHeight="1" thickBot="1">
      <c r="A662" s="271" t="s">
        <v>80</v>
      </c>
      <c r="B662" s="99" t="s">
        <v>134</v>
      </c>
      <c r="C662" s="53" t="s">
        <v>184</v>
      </c>
      <c r="D662" s="53" t="s">
        <v>180</v>
      </c>
      <c r="E662" s="53" t="s">
        <v>441</v>
      </c>
      <c r="F662" s="55" t="s">
        <v>77</v>
      </c>
      <c r="G662" s="72">
        <f>G663</f>
        <v>150</v>
      </c>
      <c r="H662" s="80">
        <f>H663</f>
        <v>300</v>
      </c>
      <c r="I662" s="80">
        <f>I663</f>
        <v>490</v>
      </c>
      <c r="J662" s="72">
        <v>350</v>
      </c>
      <c r="K662" s="162">
        <v>500</v>
      </c>
      <c r="L662" s="189">
        <f>50-210</f>
        <v>-160</v>
      </c>
      <c r="M662" s="59"/>
      <c r="N662" s="65"/>
      <c r="O662" s="65">
        <v>290</v>
      </c>
      <c r="P662" s="374">
        <v>390</v>
      </c>
      <c r="Q662" s="375">
        <f>490</f>
        <v>490</v>
      </c>
    </row>
    <row r="663" spans="1:17" ht="13.5" hidden="1" thickBot="1">
      <c r="A663" s="273"/>
      <c r="B663" s="35"/>
      <c r="C663" s="60"/>
      <c r="D663" s="60"/>
      <c r="E663" s="60"/>
      <c r="F663" s="62" t="s">
        <v>133</v>
      </c>
      <c r="G663" s="72">
        <v>150</v>
      </c>
      <c r="H663" s="80">
        <v>300</v>
      </c>
      <c r="I663" s="80">
        <v>490</v>
      </c>
      <c r="J663" s="72">
        <v>150</v>
      </c>
      <c r="K663" s="162">
        <v>150</v>
      </c>
      <c r="L663" s="189"/>
      <c r="M663" s="59"/>
      <c r="N663" s="65"/>
      <c r="O663" s="65"/>
      <c r="P663" s="374"/>
      <c r="Q663" s="375"/>
    </row>
    <row r="664" spans="1:17" ht="16.5" customHeight="1" thickBot="1">
      <c r="A664" s="267" t="s">
        <v>109</v>
      </c>
      <c r="B664" s="118"/>
      <c r="C664" s="119" t="s">
        <v>186</v>
      </c>
      <c r="D664" s="119" t="s">
        <v>131</v>
      </c>
      <c r="E664" s="119"/>
      <c r="F664" s="121"/>
      <c r="G664" s="129" t="e">
        <f aca="true" t="shared" si="113" ref="G664:Q664">G665+G711+G785+G815</f>
        <v>#REF!</v>
      </c>
      <c r="H664" s="129" t="e">
        <f t="shared" si="113"/>
        <v>#REF!</v>
      </c>
      <c r="I664" s="129" t="e">
        <f t="shared" si="113"/>
        <v>#REF!</v>
      </c>
      <c r="J664" s="129" t="e">
        <f t="shared" si="113"/>
        <v>#REF!</v>
      </c>
      <c r="K664" s="170" t="e">
        <f t="shared" si="113"/>
        <v>#REF!</v>
      </c>
      <c r="L664" s="170" t="e">
        <f t="shared" si="113"/>
        <v>#REF!</v>
      </c>
      <c r="M664" s="170" t="e">
        <f t="shared" si="113"/>
        <v>#REF!</v>
      </c>
      <c r="N664" s="170">
        <f t="shared" si="113"/>
        <v>317577.7</v>
      </c>
      <c r="O664" s="129">
        <f t="shared" si="113"/>
        <v>562090.5</v>
      </c>
      <c r="P664" s="364">
        <f t="shared" si="113"/>
        <v>602030.63</v>
      </c>
      <c r="Q664" s="365">
        <f t="shared" si="113"/>
        <v>642144.1799999999</v>
      </c>
    </row>
    <row r="665" spans="1:17" ht="16.5" customHeight="1" thickBot="1">
      <c r="A665" s="268" t="s">
        <v>315</v>
      </c>
      <c r="B665" s="16" t="s">
        <v>226</v>
      </c>
      <c r="C665" s="17" t="s">
        <v>186</v>
      </c>
      <c r="D665" s="17" t="s">
        <v>130</v>
      </c>
      <c r="E665" s="17"/>
      <c r="F665" s="19"/>
      <c r="G665" s="130" t="e">
        <f aca="true" t="shared" si="114" ref="G665:M665">G676+G685+G690+G695+G683</f>
        <v>#REF!</v>
      </c>
      <c r="H665" s="130" t="e">
        <f t="shared" si="114"/>
        <v>#REF!</v>
      </c>
      <c r="I665" s="130" t="e">
        <f t="shared" si="114"/>
        <v>#REF!</v>
      </c>
      <c r="J665" s="130" t="e">
        <f t="shared" si="114"/>
        <v>#REF!</v>
      </c>
      <c r="K665" s="171" t="e">
        <f t="shared" si="114"/>
        <v>#REF!</v>
      </c>
      <c r="L665" s="171" t="e">
        <f t="shared" si="114"/>
        <v>#REF!</v>
      </c>
      <c r="M665" s="171" t="e">
        <f t="shared" si="114"/>
        <v>#REF!</v>
      </c>
      <c r="N665" s="171">
        <f>N670+N700+N666</f>
        <v>0</v>
      </c>
      <c r="O665" s="130">
        <f>O670+O700+O666</f>
        <v>151147.69</v>
      </c>
      <c r="P665" s="366">
        <f>P670+P700+P666</f>
        <v>160171.32000000004</v>
      </c>
      <c r="Q665" s="367">
        <f>Q670+Q700+Q666</f>
        <v>171967.43999999997</v>
      </c>
    </row>
    <row r="666" spans="1:17" ht="16.5" customHeight="1" thickBot="1">
      <c r="A666" s="274" t="s">
        <v>456</v>
      </c>
      <c r="B666" s="29" t="s">
        <v>226</v>
      </c>
      <c r="C666" s="30" t="s">
        <v>186</v>
      </c>
      <c r="D666" s="30" t="s">
        <v>130</v>
      </c>
      <c r="E666" s="30" t="s">
        <v>457</v>
      </c>
      <c r="F666" s="32"/>
      <c r="G666" s="203"/>
      <c r="H666" s="203"/>
      <c r="I666" s="203"/>
      <c r="J666" s="203"/>
      <c r="K666" s="204"/>
      <c r="L666" s="204"/>
      <c r="M666" s="204"/>
      <c r="N666" s="183">
        <f aca="true" t="shared" si="115" ref="N666:Q668">N667</f>
        <v>0</v>
      </c>
      <c r="O666" s="138">
        <f t="shared" si="115"/>
        <v>448.72</v>
      </c>
      <c r="P666" s="404">
        <f t="shared" si="115"/>
        <v>448.73</v>
      </c>
      <c r="Q666" s="405">
        <f t="shared" si="115"/>
        <v>448.71000000000004</v>
      </c>
    </row>
    <row r="667" spans="1:17" ht="16.5" customHeight="1">
      <c r="A667" s="291" t="s">
        <v>316</v>
      </c>
      <c r="B667" s="29" t="s">
        <v>226</v>
      </c>
      <c r="C667" s="30" t="s">
        <v>186</v>
      </c>
      <c r="D667" s="30" t="s">
        <v>130</v>
      </c>
      <c r="E667" s="30" t="s">
        <v>458</v>
      </c>
      <c r="F667" s="32"/>
      <c r="G667" s="203"/>
      <c r="H667" s="203"/>
      <c r="I667" s="203"/>
      <c r="J667" s="203"/>
      <c r="K667" s="204"/>
      <c r="L667" s="204"/>
      <c r="M667" s="204"/>
      <c r="N667" s="183">
        <f t="shared" si="115"/>
        <v>0</v>
      </c>
      <c r="O667" s="138">
        <f t="shared" si="115"/>
        <v>448.72</v>
      </c>
      <c r="P667" s="404">
        <f t="shared" si="115"/>
        <v>448.73</v>
      </c>
      <c r="Q667" s="405">
        <f t="shared" si="115"/>
        <v>448.71000000000004</v>
      </c>
    </row>
    <row r="668" spans="1:17" ht="16.5" customHeight="1" thickBot="1">
      <c r="A668" s="277" t="s">
        <v>90</v>
      </c>
      <c r="B668" s="99" t="s">
        <v>226</v>
      </c>
      <c r="C668" s="53" t="s">
        <v>186</v>
      </c>
      <c r="D668" s="53" t="s">
        <v>130</v>
      </c>
      <c r="E668" s="53" t="s">
        <v>458</v>
      </c>
      <c r="F668" s="55" t="s">
        <v>83</v>
      </c>
      <c r="G668" s="230"/>
      <c r="H668" s="230"/>
      <c r="I668" s="230"/>
      <c r="J668" s="230"/>
      <c r="K668" s="231"/>
      <c r="L668" s="231"/>
      <c r="M668" s="231"/>
      <c r="N668" s="164">
        <f t="shared" si="115"/>
        <v>0</v>
      </c>
      <c r="O668" s="65">
        <f t="shared" si="115"/>
        <v>448.72</v>
      </c>
      <c r="P668" s="374">
        <f>P669+0.01</f>
        <v>448.73</v>
      </c>
      <c r="Q668" s="375">
        <f>Q669-0.01</f>
        <v>448.71000000000004</v>
      </c>
    </row>
    <row r="669" spans="1:17" ht="16.5" customHeight="1" hidden="1" thickBot="1">
      <c r="A669" s="273"/>
      <c r="B669" s="26"/>
      <c r="C669" s="27"/>
      <c r="D669" s="27"/>
      <c r="E669" s="27"/>
      <c r="F669" s="58" t="s">
        <v>168</v>
      </c>
      <c r="G669" s="224"/>
      <c r="H669" s="224"/>
      <c r="I669" s="224"/>
      <c r="J669" s="224"/>
      <c r="K669" s="225"/>
      <c r="L669" s="225"/>
      <c r="M669" s="225"/>
      <c r="N669" s="167"/>
      <c r="O669" s="136">
        <v>448.72</v>
      </c>
      <c r="P669" s="398">
        <v>448.72</v>
      </c>
      <c r="Q669" s="399">
        <v>448.72</v>
      </c>
    </row>
    <row r="670" spans="1:17" ht="16.5" customHeight="1" thickBot="1">
      <c r="A670" s="268" t="s">
        <v>402</v>
      </c>
      <c r="B670" s="123" t="s">
        <v>226</v>
      </c>
      <c r="C670" s="124" t="s">
        <v>186</v>
      </c>
      <c r="D670" s="124" t="s">
        <v>130</v>
      </c>
      <c r="E670" s="30" t="s">
        <v>219</v>
      </c>
      <c r="F670" s="126"/>
      <c r="G670" s="203"/>
      <c r="H670" s="203"/>
      <c r="I670" s="203"/>
      <c r="J670" s="203"/>
      <c r="K670" s="204"/>
      <c r="L670" s="204"/>
      <c r="M670" s="204"/>
      <c r="N670" s="183">
        <f>N671</f>
        <v>0</v>
      </c>
      <c r="O670" s="138">
        <f>O671</f>
        <v>14342.77</v>
      </c>
      <c r="P670" s="404">
        <f>P671</f>
        <v>13156.89</v>
      </c>
      <c r="Q670" s="405">
        <f>Q671</f>
        <v>13817.33</v>
      </c>
    </row>
    <row r="671" spans="1:17" ht="16.5" customHeight="1">
      <c r="A671" s="291" t="s">
        <v>442</v>
      </c>
      <c r="B671" s="29" t="s">
        <v>226</v>
      </c>
      <c r="C671" s="30" t="s">
        <v>186</v>
      </c>
      <c r="D671" s="30" t="s">
        <v>130</v>
      </c>
      <c r="E671" s="30" t="s">
        <v>346</v>
      </c>
      <c r="F671" s="126"/>
      <c r="G671" s="203"/>
      <c r="H671" s="203"/>
      <c r="I671" s="203"/>
      <c r="J671" s="203"/>
      <c r="K671" s="204"/>
      <c r="L671" s="204"/>
      <c r="M671" s="204"/>
      <c r="N671" s="183">
        <f>N672+N674+N676+N678+N680</f>
        <v>0</v>
      </c>
      <c r="O671" s="138">
        <f>O672+O674+O676+O678+O680</f>
        <v>14342.77</v>
      </c>
      <c r="P671" s="404">
        <f>P672+P674+P676+P678+P680</f>
        <v>13156.89</v>
      </c>
      <c r="Q671" s="405">
        <f>Q672+Q674+Q676+Q678+Q680</f>
        <v>13817.33</v>
      </c>
    </row>
    <row r="672" spans="1:17" ht="16.5" customHeight="1">
      <c r="A672" s="270" t="s">
        <v>443</v>
      </c>
      <c r="B672" s="235" t="s">
        <v>226</v>
      </c>
      <c r="C672" s="236" t="s">
        <v>186</v>
      </c>
      <c r="D672" s="236" t="s">
        <v>130</v>
      </c>
      <c r="E672" s="49" t="s">
        <v>444</v>
      </c>
      <c r="F672" s="237"/>
      <c r="G672" s="192"/>
      <c r="H672" s="192"/>
      <c r="I672" s="192"/>
      <c r="J672" s="192"/>
      <c r="K672" s="226"/>
      <c r="L672" s="226"/>
      <c r="M672" s="226"/>
      <c r="N672" s="173">
        <f>N673</f>
        <v>0</v>
      </c>
      <c r="O672" s="71">
        <f>O673</f>
        <v>966.7</v>
      </c>
      <c r="P672" s="370">
        <f>P673</f>
        <v>611.3</v>
      </c>
      <c r="Q672" s="371">
        <f>Q673</f>
        <v>631.9</v>
      </c>
    </row>
    <row r="673" spans="1:17" ht="16.5" customHeight="1">
      <c r="A673" s="299" t="s">
        <v>90</v>
      </c>
      <c r="B673" s="227" t="s">
        <v>226</v>
      </c>
      <c r="C673" s="228" t="s">
        <v>186</v>
      </c>
      <c r="D673" s="228" t="s">
        <v>130</v>
      </c>
      <c r="E673" s="53" t="s">
        <v>445</v>
      </c>
      <c r="F673" s="229" t="s">
        <v>83</v>
      </c>
      <c r="G673" s="230"/>
      <c r="H673" s="230"/>
      <c r="I673" s="230"/>
      <c r="J673" s="230"/>
      <c r="K673" s="231"/>
      <c r="L673" s="231"/>
      <c r="M673" s="231"/>
      <c r="N673" s="164"/>
      <c r="O673" s="65">
        <v>966.7</v>
      </c>
      <c r="P673" s="374">
        <v>611.3</v>
      </c>
      <c r="Q673" s="375">
        <v>631.9</v>
      </c>
    </row>
    <row r="674" spans="1:17" ht="16.5" customHeight="1">
      <c r="A674" s="272" t="s">
        <v>446</v>
      </c>
      <c r="B674" s="153" t="s">
        <v>226</v>
      </c>
      <c r="C674" s="154" t="s">
        <v>186</v>
      </c>
      <c r="D674" s="154" t="s">
        <v>130</v>
      </c>
      <c r="E674" s="27" t="s">
        <v>447</v>
      </c>
      <c r="F674" s="215"/>
      <c r="G674" s="224"/>
      <c r="H674" s="224"/>
      <c r="I674" s="224"/>
      <c r="J674" s="224"/>
      <c r="K674" s="225"/>
      <c r="L674" s="225"/>
      <c r="M674" s="225"/>
      <c r="N674" s="167">
        <f>N675</f>
        <v>0</v>
      </c>
      <c r="O674" s="155">
        <f>O675</f>
        <v>5</v>
      </c>
      <c r="P674" s="396">
        <f>P675</f>
        <v>15</v>
      </c>
      <c r="Q674" s="397">
        <f>Q675</f>
        <v>15.77</v>
      </c>
    </row>
    <row r="675" spans="1:17" ht="16.5" customHeight="1">
      <c r="A675" s="299" t="s">
        <v>90</v>
      </c>
      <c r="B675" s="227" t="s">
        <v>226</v>
      </c>
      <c r="C675" s="228" t="s">
        <v>186</v>
      </c>
      <c r="D675" s="228" t="s">
        <v>130</v>
      </c>
      <c r="E675" s="53" t="s">
        <v>447</v>
      </c>
      <c r="F675" s="229" t="s">
        <v>83</v>
      </c>
      <c r="G675" s="230"/>
      <c r="H675" s="230"/>
      <c r="I675" s="230"/>
      <c r="J675" s="230"/>
      <c r="K675" s="231"/>
      <c r="L675" s="231"/>
      <c r="M675" s="231"/>
      <c r="N675" s="231"/>
      <c r="O675" s="230">
        <v>5</v>
      </c>
      <c r="P675" s="418">
        <v>15</v>
      </c>
      <c r="Q675" s="419">
        <v>15.77</v>
      </c>
    </row>
    <row r="676" spans="1:17" ht="16.5" customHeight="1">
      <c r="A676" s="275" t="s">
        <v>448</v>
      </c>
      <c r="B676" s="73" t="s">
        <v>226</v>
      </c>
      <c r="C676" s="81" t="s">
        <v>186</v>
      </c>
      <c r="D676" s="81" t="s">
        <v>130</v>
      </c>
      <c r="E676" s="81" t="s">
        <v>449</v>
      </c>
      <c r="F676" s="77"/>
      <c r="G676" s="64" t="e">
        <f aca="true" t="shared" si="116" ref="G676:Q676">G677</f>
        <v>#REF!</v>
      </c>
      <c r="H676" s="64" t="e">
        <f t="shared" si="116"/>
        <v>#REF!</v>
      </c>
      <c r="I676" s="64" t="e">
        <f t="shared" si="116"/>
        <v>#REF!</v>
      </c>
      <c r="J676" s="64" t="e">
        <f t="shared" si="116"/>
        <v>#REF!</v>
      </c>
      <c r="K676" s="176" t="e">
        <f t="shared" si="116"/>
        <v>#REF!</v>
      </c>
      <c r="L676" s="176" t="e">
        <f t="shared" si="116"/>
        <v>#REF!</v>
      </c>
      <c r="M676" s="176" t="e">
        <f t="shared" si="116"/>
        <v>#REF!</v>
      </c>
      <c r="N676" s="176">
        <f t="shared" si="116"/>
        <v>0</v>
      </c>
      <c r="O676" s="64">
        <f t="shared" si="116"/>
        <v>48.8</v>
      </c>
      <c r="P676" s="380">
        <f t="shared" si="116"/>
        <v>51.29</v>
      </c>
      <c r="Q676" s="381">
        <f t="shared" si="116"/>
        <v>53.9</v>
      </c>
    </row>
    <row r="677" spans="1:17" ht="16.5" customHeight="1">
      <c r="A677" s="301" t="s">
        <v>90</v>
      </c>
      <c r="B677" s="105" t="s">
        <v>226</v>
      </c>
      <c r="C677" s="74" t="s">
        <v>186</v>
      </c>
      <c r="D677" s="74" t="s">
        <v>130</v>
      </c>
      <c r="E677" s="74" t="s">
        <v>449</v>
      </c>
      <c r="F677" s="75" t="s">
        <v>377</v>
      </c>
      <c r="G677" s="64" t="e">
        <f aca="true" t="shared" si="117" ref="G677:M677">G679+G678</f>
        <v>#REF!</v>
      </c>
      <c r="H677" s="64" t="e">
        <f t="shared" si="117"/>
        <v>#REF!</v>
      </c>
      <c r="I677" s="64" t="e">
        <f t="shared" si="117"/>
        <v>#REF!</v>
      </c>
      <c r="J677" s="64" t="e">
        <f t="shared" si="117"/>
        <v>#REF!</v>
      </c>
      <c r="K677" s="176" t="e">
        <f t="shared" si="117"/>
        <v>#REF!</v>
      </c>
      <c r="L677" s="176" t="e">
        <f t="shared" si="117"/>
        <v>#REF!</v>
      </c>
      <c r="M677" s="176" t="e">
        <f t="shared" si="117"/>
        <v>#REF!</v>
      </c>
      <c r="N677" s="166">
        <v>0</v>
      </c>
      <c r="O677" s="76">
        <v>48.8</v>
      </c>
      <c r="P677" s="382">
        <v>51.29</v>
      </c>
      <c r="Q677" s="383">
        <v>53.9</v>
      </c>
    </row>
    <row r="678" spans="1:17" ht="16.5" customHeight="1">
      <c r="A678" s="281" t="s">
        <v>450</v>
      </c>
      <c r="B678" s="66" t="s">
        <v>226</v>
      </c>
      <c r="C678" s="92" t="s">
        <v>186</v>
      </c>
      <c r="D678" s="92" t="s">
        <v>130</v>
      </c>
      <c r="E678" s="92" t="s">
        <v>451</v>
      </c>
      <c r="F678" s="94"/>
      <c r="G678" s="71">
        <v>201.6</v>
      </c>
      <c r="H678" s="52">
        <v>201.6</v>
      </c>
      <c r="I678" s="52">
        <v>201.6</v>
      </c>
      <c r="J678" s="71"/>
      <c r="K678" s="173">
        <v>201.6</v>
      </c>
      <c r="L678" s="187"/>
      <c r="M678" s="52"/>
      <c r="N678" s="71">
        <f>N679</f>
        <v>0</v>
      </c>
      <c r="O678" s="71">
        <f>O679</f>
        <v>1887.8</v>
      </c>
      <c r="P678" s="370">
        <f>P679</f>
        <v>1984.08</v>
      </c>
      <c r="Q678" s="371">
        <f>Q679</f>
        <v>2085.27</v>
      </c>
    </row>
    <row r="679" spans="1:17" ht="16.5" customHeight="1">
      <c r="A679" s="301" t="s">
        <v>90</v>
      </c>
      <c r="B679" s="141" t="s">
        <v>226</v>
      </c>
      <c r="C679" s="67" t="s">
        <v>186</v>
      </c>
      <c r="D679" s="67" t="s">
        <v>130</v>
      </c>
      <c r="E679" s="67" t="s">
        <v>452</v>
      </c>
      <c r="F679" s="69" t="s">
        <v>83</v>
      </c>
      <c r="G679" s="65" t="e">
        <f>G680+#REF!+#REF!+#REF!+#REF!+#REF!+#REF!+#REF!+#REF!+#REF!+G682+#REF!+G681+#REF!</f>
        <v>#REF!</v>
      </c>
      <c r="H679" s="65" t="e">
        <f>H680+#REF!+#REF!+#REF!+#REF!+#REF!+#REF!+#REF!+#REF!+#REF!+H682+#REF!+H681+#REF!</f>
        <v>#REF!</v>
      </c>
      <c r="I679" s="65" t="e">
        <f>I680+#REF!+#REF!+#REF!+#REF!+#REF!+#REF!+#REF!+#REF!+#REF!+I682+#REF!+I681+#REF!</f>
        <v>#REF!</v>
      </c>
      <c r="J679" s="65" t="e">
        <f>J680+#REF!+#REF!+#REF!+#REF!+#REF!+#REF!+#REF!+#REF!+#REF!+J682+#REF!+J681+#REF!</f>
        <v>#REF!</v>
      </c>
      <c r="K679" s="164" t="e">
        <f>K680+#REF!+#REF!+#REF!+#REF!+#REF!+#REF!+#REF!+#REF!+#REF!+K682+#REF!+K681+#REF!</f>
        <v>#REF!</v>
      </c>
      <c r="L679" s="164" t="e">
        <f>L680+#REF!+#REF!+#REF!+#REF!+#REF!+#REF!+#REF!+#REF!+#REF!+L682+#REF!+L681+#REF!</f>
        <v>#REF!</v>
      </c>
      <c r="M679" s="164" t="e">
        <f>M680+#REF!+#REF!+#REF!+#REF!+#REF!+#REF!+#REF!+#REF!+#REF!+M682+#REF!+M681+#REF!</f>
        <v>#REF!</v>
      </c>
      <c r="N679" s="164">
        <v>0</v>
      </c>
      <c r="O679" s="65">
        <v>1887.8</v>
      </c>
      <c r="P679" s="374">
        <v>1984.08</v>
      </c>
      <c r="Q679" s="375">
        <v>2085.27</v>
      </c>
    </row>
    <row r="680" spans="1:17" ht="16.5" customHeight="1">
      <c r="A680" s="293" t="s">
        <v>453</v>
      </c>
      <c r="B680" s="66" t="s">
        <v>226</v>
      </c>
      <c r="C680" s="92" t="s">
        <v>186</v>
      </c>
      <c r="D680" s="92" t="s">
        <v>130</v>
      </c>
      <c r="E680" s="92" t="s">
        <v>454</v>
      </c>
      <c r="F680" s="51"/>
      <c r="G680" s="71">
        <v>28294.75133</v>
      </c>
      <c r="H680" s="52">
        <f>56772*0.91</f>
        <v>51662.520000000004</v>
      </c>
      <c r="I680" s="52">
        <f>56772*0.95</f>
        <v>53933.399999999994</v>
      </c>
      <c r="J680" s="71">
        <v>4916.75637</v>
      </c>
      <c r="K680" s="173">
        <v>33211.5077</v>
      </c>
      <c r="L680" s="187"/>
      <c r="M680" s="52">
        <v>3682.09661</v>
      </c>
      <c r="N680" s="71">
        <f>N681</f>
        <v>0</v>
      </c>
      <c r="O680" s="71">
        <f>O681</f>
        <v>11434.47</v>
      </c>
      <c r="P680" s="370">
        <f>P681</f>
        <v>10495.22</v>
      </c>
      <c r="Q680" s="371">
        <f>Q681</f>
        <v>11030.49</v>
      </c>
    </row>
    <row r="681" spans="1:17" ht="16.5" customHeight="1" thickBot="1">
      <c r="A681" s="301" t="s">
        <v>90</v>
      </c>
      <c r="B681" s="141" t="s">
        <v>226</v>
      </c>
      <c r="C681" s="67" t="s">
        <v>186</v>
      </c>
      <c r="D681" s="67" t="s">
        <v>130</v>
      </c>
      <c r="E681" s="67" t="s">
        <v>455</v>
      </c>
      <c r="F681" s="69" t="s">
        <v>83</v>
      </c>
      <c r="G681" s="65">
        <v>26429.38137</v>
      </c>
      <c r="H681" s="59"/>
      <c r="I681" s="59"/>
      <c r="J681" s="65">
        <v>2478.04184</v>
      </c>
      <c r="K681" s="164">
        <v>28907.42321</v>
      </c>
      <c r="L681" s="189"/>
      <c r="M681" s="59"/>
      <c r="N681" s="65"/>
      <c r="O681" s="65">
        <v>11434.47</v>
      </c>
      <c r="P681" s="374">
        <v>10495.22</v>
      </c>
      <c r="Q681" s="375">
        <v>11030.49</v>
      </c>
    </row>
    <row r="682" spans="1:17" ht="0.75" customHeight="1" hidden="1" thickBot="1">
      <c r="A682" s="302"/>
      <c r="B682" s="26"/>
      <c r="C682" s="56"/>
      <c r="D682" s="56"/>
      <c r="E682" s="56"/>
      <c r="F682" s="58" t="s">
        <v>170</v>
      </c>
      <c r="G682" s="72">
        <f>10193.564+118.25199</f>
        <v>10311.815990000001</v>
      </c>
      <c r="H682" s="80">
        <f>G682*1.052*0.91</f>
        <v>9871.707683546801</v>
      </c>
      <c r="I682" s="80">
        <f>H682*1.049*0.95</f>
        <v>9837.650292038565</v>
      </c>
      <c r="J682" s="72">
        <v>-312.79519</v>
      </c>
      <c r="K682" s="164">
        <f>8954.9584+138.0718</f>
        <v>9093.0302</v>
      </c>
      <c r="L682" s="189">
        <v>-278</v>
      </c>
      <c r="M682" s="59"/>
      <c r="N682" s="65">
        <f>K682+L682+M682</f>
        <v>8815.0302</v>
      </c>
      <c r="O682" s="65">
        <f>L682+M682+N682</f>
        <v>8537.0302</v>
      </c>
      <c r="P682" s="374">
        <f>M682+N682+O682</f>
        <v>17352.0604</v>
      </c>
      <c r="Q682" s="375">
        <f>N682+O682+P682</f>
        <v>34704.1208</v>
      </c>
    </row>
    <row r="683" spans="1:17" ht="0.75" customHeight="1" hidden="1">
      <c r="A683" s="295" t="s">
        <v>373</v>
      </c>
      <c r="B683" s="26" t="s">
        <v>226</v>
      </c>
      <c r="C683" s="27" t="s">
        <v>186</v>
      </c>
      <c r="D683" s="27" t="s">
        <v>130</v>
      </c>
      <c r="E683" s="27" t="s">
        <v>374</v>
      </c>
      <c r="F683" s="28" t="s">
        <v>133</v>
      </c>
      <c r="G683" s="155">
        <f aca="true" t="shared" si="118" ref="G683:M683">G684</f>
        <v>0</v>
      </c>
      <c r="H683" s="155">
        <f t="shared" si="118"/>
        <v>0</v>
      </c>
      <c r="I683" s="155">
        <f t="shared" si="118"/>
        <v>0</v>
      </c>
      <c r="J683" s="155">
        <f t="shared" si="118"/>
        <v>1697.7</v>
      </c>
      <c r="K683" s="167">
        <f t="shared" si="118"/>
        <v>1697.7</v>
      </c>
      <c r="L683" s="167">
        <f t="shared" si="118"/>
        <v>-350.559</v>
      </c>
      <c r="M683" s="167">
        <f t="shared" si="118"/>
        <v>0</v>
      </c>
      <c r="N683" s="167"/>
      <c r="O683" s="155"/>
      <c r="P683" s="396"/>
      <c r="Q683" s="397"/>
    </row>
    <row r="684" spans="1:17" ht="0.75" customHeight="1" hidden="1" thickBot="1">
      <c r="A684" s="303" t="s">
        <v>90</v>
      </c>
      <c r="B684" s="26" t="s">
        <v>226</v>
      </c>
      <c r="C684" s="27" t="s">
        <v>186</v>
      </c>
      <c r="D684" s="27" t="s">
        <v>130</v>
      </c>
      <c r="E684" s="27" t="s">
        <v>374</v>
      </c>
      <c r="F684" s="58" t="s">
        <v>83</v>
      </c>
      <c r="G684" s="136"/>
      <c r="H684" s="136"/>
      <c r="I684" s="136"/>
      <c r="J684" s="136">
        <v>1697.7</v>
      </c>
      <c r="K684" s="166">
        <f>G684+J684</f>
        <v>1697.7</v>
      </c>
      <c r="L684" s="189">
        <v>-350.559</v>
      </c>
      <c r="M684" s="59"/>
      <c r="N684" s="65"/>
      <c r="O684" s="65"/>
      <c r="P684" s="374"/>
      <c r="Q684" s="375"/>
    </row>
    <row r="685" spans="1:17" ht="0.75" customHeight="1" hidden="1">
      <c r="A685" s="295" t="s">
        <v>323</v>
      </c>
      <c r="B685" s="43" t="s">
        <v>226</v>
      </c>
      <c r="C685" s="44" t="s">
        <v>186</v>
      </c>
      <c r="D685" s="44" t="s">
        <v>130</v>
      </c>
      <c r="E685" s="44" t="s">
        <v>324</v>
      </c>
      <c r="F685" s="46" t="s">
        <v>133</v>
      </c>
      <c r="G685" s="131">
        <f aca="true" t="shared" si="119" ref="G685:Q686">G686</f>
        <v>0</v>
      </c>
      <c r="H685" s="131">
        <f t="shared" si="119"/>
        <v>0</v>
      </c>
      <c r="I685" s="131">
        <f t="shared" si="119"/>
        <v>0</v>
      </c>
      <c r="J685" s="131">
        <f t="shared" si="119"/>
        <v>8926.633</v>
      </c>
      <c r="K685" s="172">
        <f t="shared" si="119"/>
        <v>8926.633</v>
      </c>
      <c r="L685" s="172">
        <f t="shared" si="119"/>
        <v>0</v>
      </c>
      <c r="M685" s="172">
        <f t="shared" si="119"/>
        <v>0</v>
      </c>
      <c r="N685" s="172">
        <f t="shared" si="119"/>
        <v>0</v>
      </c>
      <c r="O685" s="131">
        <f t="shared" si="119"/>
        <v>0</v>
      </c>
      <c r="P685" s="368">
        <f t="shared" si="119"/>
        <v>0</v>
      </c>
      <c r="Q685" s="369">
        <f t="shared" si="119"/>
        <v>0</v>
      </c>
    </row>
    <row r="686" spans="1:17" ht="13.5" hidden="1" thickBot="1">
      <c r="A686" s="301" t="s">
        <v>90</v>
      </c>
      <c r="B686" s="48" t="s">
        <v>226</v>
      </c>
      <c r="C686" s="53" t="s">
        <v>186</v>
      </c>
      <c r="D686" s="53" t="s">
        <v>130</v>
      </c>
      <c r="E686" s="53" t="s">
        <v>324</v>
      </c>
      <c r="F686" s="55" t="s">
        <v>83</v>
      </c>
      <c r="G686" s="71">
        <f t="shared" si="119"/>
        <v>0</v>
      </c>
      <c r="H686" s="71">
        <f t="shared" si="119"/>
        <v>0</v>
      </c>
      <c r="I686" s="71">
        <f t="shared" si="119"/>
        <v>0</v>
      </c>
      <c r="J686" s="71">
        <f t="shared" si="119"/>
        <v>8926.633</v>
      </c>
      <c r="K686" s="173">
        <f t="shared" si="119"/>
        <v>8926.633</v>
      </c>
      <c r="L686" s="173">
        <f t="shared" si="119"/>
        <v>0</v>
      </c>
      <c r="M686" s="173">
        <f t="shared" si="119"/>
        <v>0</v>
      </c>
      <c r="N686" s="173">
        <f t="shared" si="119"/>
        <v>0</v>
      </c>
      <c r="O686" s="71">
        <f t="shared" si="119"/>
        <v>0</v>
      </c>
      <c r="P686" s="370">
        <f t="shared" si="119"/>
        <v>0</v>
      </c>
      <c r="Q686" s="371">
        <f t="shared" si="119"/>
        <v>0</v>
      </c>
    </row>
    <row r="687" spans="1:17" ht="0.75" customHeight="1" hidden="1">
      <c r="A687" s="293"/>
      <c r="B687" s="48" t="s">
        <v>226</v>
      </c>
      <c r="C687" s="53" t="s">
        <v>186</v>
      </c>
      <c r="D687" s="53" t="s">
        <v>130</v>
      </c>
      <c r="E687" s="53" t="s">
        <v>324</v>
      </c>
      <c r="F687" s="55"/>
      <c r="G687" s="71">
        <f aca="true" t="shared" si="120" ref="G687:N687">G688+G689</f>
        <v>0</v>
      </c>
      <c r="H687" s="71">
        <f t="shared" si="120"/>
        <v>0</v>
      </c>
      <c r="I687" s="71">
        <f t="shared" si="120"/>
        <v>0</v>
      </c>
      <c r="J687" s="71">
        <f t="shared" si="120"/>
        <v>8926.633</v>
      </c>
      <c r="K687" s="173">
        <f t="shared" si="120"/>
        <v>8926.633</v>
      </c>
      <c r="L687" s="173">
        <f t="shared" si="120"/>
        <v>0</v>
      </c>
      <c r="M687" s="173">
        <f t="shared" si="120"/>
        <v>0</v>
      </c>
      <c r="N687" s="173">
        <f t="shared" si="120"/>
        <v>0</v>
      </c>
      <c r="O687" s="71">
        <f>O688+O689</f>
        <v>0</v>
      </c>
      <c r="P687" s="370">
        <f>P688+P689</f>
        <v>0</v>
      </c>
      <c r="Q687" s="371">
        <f>Q688+Q689</f>
        <v>0</v>
      </c>
    </row>
    <row r="688" spans="1:17" ht="13.5" hidden="1" thickBot="1">
      <c r="A688" s="283"/>
      <c r="B688" s="73"/>
      <c r="C688" s="74"/>
      <c r="D688" s="74"/>
      <c r="E688" s="74"/>
      <c r="F688" s="75" t="s">
        <v>146</v>
      </c>
      <c r="G688" s="65"/>
      <c r="H688" s="59"/>
      <c r="I688" s="59"/>
      <c r="J688" s="65">
        <v>6856.09293</v>
      </c>
      <c r="K688" s="164">
        <v>6856.09284</v>
      </c>
      <c r="L688" s="189"/>
      <c r="M688" s="59"/>
      <c r="N688" s="65"/>
      <c r="O688" s="65"/>
      <c r="P688" s="374"/>
      <c r="Q688" s="375"/>
    </row>
    <row r="689" spans="1:17" ht="0.75" customHeight="1" hidden="1" thickBot="1">
      <c r="A689" s="304"/>
      <c r="B689" s="26"/>
      <c r="C689" s="56"/>
      <c r="D689" s="56"/>
      <c r="E689" s="56"/>
      <c r="F689" s="58" t="s">
        <v>148</v>
      </c>
      <c r="G689" s="72"/>
      <c r="H689" s="80"/>
      <c r="I689" s="80"/>
      <c r="J689" s="72">
        <v>2070.54007</v>
      </c>
      <c r="K689" s="164">
        <v>2070.54016</v>
      </c>
      <c r="L689" s="189"/>
      <c r="M689" s="59"/>
      <c r="N689" s="65"/>
      <c r="O689" s="65"/>
      <c r="P689" s="374"/>
      <c r="Q689" s="375"/>
    </row>
    <row r="690" spans="1:17" ht="0.75" customHeight="1" hidden="1">
      <c r="A690" s="305" t="s">
        <v>325</v>
      </c>
      <c r="B690" s="43" t="s">
        <v>226</v>
      </c>
      <c r="C690" s="44" t="s">
        <v>186</v>
      </c>
      <c r="D690" s="44" t="s">
        <v>130</v>
      </c>
      <c r="E690" s="44" t="s">
        <v>326</v>
      </c>
      <c r="F690" s="46" t="s">
        <v>133</v>
      </c>
      <c r="G690" s="131">
        <f>G691+G693</f>
        <v>0</v>
      </c>
      <c r="H690" s="47">
        <f>H691+H693</f>
        <v>0</v>
      </c>
      <c r="I690" s="47">
        <f>I691+I693</f>
        <v>0</v>
      </c>
      <c r="J690" s="131">
        <f>J691+J693</f>
        <v>0</v>
      </c>
      <c r="K690" s="172">
        <f>K691+K693</f>
        <v>0</v>
      </c>
      <c r="L690" s="187"/>
      <c r="M690" s="52"/>
      <c r="N690" s="65">
        <f aca="true" t="shared" si="121" ref="N690:N698">K690+L690+M690</f>
        <v>0</v>
      </c>
      <c r="O690" s="65">
        <f aca="true" t="shared" si="122" ref="O690:O698">L690+M690+N690</f>
        <v>0</v>
      </c>
      <c r="P690" s="374">
        <f aca="true" t="shared" si="123" ref="P690:P698">M690+N690+O690</f>
        <v>0</v>
      </c>
      <c r="Q690" s="375">
        <f aca="true" t="shared" si="124" ref="Q690:Q698">N690+O690+P690</f>
        <v>0</v>
      </c>
    </row>
    <row r="691" spans="1:17" ht="13.5" hidden="1" thickBot="1">
      <c r="A691" s="275" t="s">
        <v>317</v>
      </c>
      <c r="B691" s="73" t="s">
        <v>226</v>
      </c>
      <c r="C691" s="74" t="s">
        <v>186</v>
      </c>
      <c r="D691" s="74" t="s">
        <v>130</v>
      </c>
      <c r="E691" s="74" t="s">
        <v>326</v>
      </c>
      <c r="F691" s="75" t="s">
        <v>318</v>
      </c>
      <c r="G691" s="76">
        <f>G692</f>
        <v>0</v>
      </c>
      <c r="H691" s="98">
        <f>H692</f>
        <v>0</v>
      </c>
      <c r="I691" s="98">
        <f>I692</f>
        <v>0</v>
      </c>
      <c r="J691" s="76">
        <f>J692</f>
        <v>0</v>
      </c>
      <c r="K691" s="166">
        <f>K692</f>
        <v>0</v>
      </c>
      <c r="L691" s="189"/>
      <c r="M691" s="59"/>
      <c r="N691" s="65">
        <f t="shared" si="121"/>
        <v>0</v>
      </c>
      <c r="O691" s="65">
        <f t="shared" si="122"/>
        <v>0</v>
      </c>
      <c r="P691" s="374">
        <f t="shared" si="123"/>
        <v>0</v>
      </c>
      <c r="Q691" s="375">
        <f t="shared" si="124"/>
        <v>0</v>
      </c>
    </row>
    <row r="692" spans="1:17" ht="13.5" hidden="1" thickBot="1">
      <c r="A692" s="272"/>
      <c r="B692" s="26"/>
      <c r="C692" s="56"/>
      <c r="D692" s="56"/>
      <c r="E692" s="56"/>
      <c r="F692" s="58" t="s">
        <v>168</v>
      </c>
      <c r="G692" s="65"/>
      <c r="H692" s="59"/>
      <c r="I692" s="59"/>
      <c r="J692" s="65"/>
      <c r="K692" s="164"/>
      <c r="L692" s="189"/>
      <c r="M692" s="59"/>
      <c r="N692" s="65">
        <f t="shared" si="121"/>
        <v>0</v>
      </c>
      <c r="O692" s="65">
        <f t="shared" si="122"/>
        <v>0</v>
      </c>
      <c r="P692" s="374">
        <f t="shared" si="123"/>
        <v>0</v>
      </c>
      <c r="Q692" s="375">
        <f t="shared" si="124"/>
        <v>0</v>
      </c>
    </row>
    <row r="693" spans="1:17" ht="13.5" hidden="1" thickBot="1">
      <c r="A693" s="293" t="s">
        <v>321</v>
      </c>
      <c r="B693" s="48" t="s">
        <v>226</v>
      </c>
      <c r="C693" s="53" t="s">
        <v>186</v>
      </c>
      <c r="D693" s="53" t="s">
        <v>130</v>
      </c>
      <c r="E693" s="53" t="s">
        <v>326</v>
      </c>
      <c r="F693" s="55" t="s">
        <v>322</v>
      </c>
      <c r="G693" s="65">
        <f>G694</f>
        <v>0</v>
      </c>
      <c r="H693" s="59">
        <f>H694</f>
        <v>0</v>
      </c>
      <c r="I693" s="59">
        <f>I694</f>
        <v>0</v>
      </c>
      <c r="J693" s="65">
        <f>J694</f>
        <v>0</v>
      </c>
      <c r="K693" s="164">
        <f>K694</f>
        <v>0</v>
      </c>
      <c r="L693" s="189"/>
      <c r="M693" s="59"/>
      <c r="N693" s="65">
        <f t="shared" si="121"/>
        <v>0</v>
      </c>
      <c r="O693" s="65">
        <f t="shared" si="122"/>
        <v>0</v>
      </c>
      <c r="P693" s="374">
        <f t="shared" si="123"/>
        <v>0</v>
      </c>
      <c r="Q693" s="375">
        <f t="shared" si="124"/>
        <v>0</v>
      </c>
    </row>
    <row r="694" spans="1:17" ht="13.5" hidden="1" thickBot="1">
      <c r="A694" s="304"/>
      <c r="B694" s="26"/>
      <c r="C694" s="56"/>
      <c r="D694" s="56"/>
      <c r="E694" s="102" t="s">
        <v>312</v>
      </c>
      <c r="F694" s="58" t="s">
        <v>168</v>
      </c>
      <c r="G694" s="72"/>
      <c r="H694" s="80"/>
      <c r="I694" s="80"/>
      <c r="J694" s="72"/>
      <c r="K694" s="162"/>
      <c r="L694" s="189"/>
      <c r="M694" s="59"/>
      <c r="N694" s="65">
        <f t="shared" si="121"/>
        <v>0</v>
      </c>
      <c r="O694" s="65">
        <f t="shared" si="122"/>
        <v>0</v>
      </c>
      <c r="P694" s="374">
        <f t="shared" si="123"/>
        <v>0</v>
      </c>
      <c r="Q694" s="375">
        <f t="shared" si="124"/>
        <v>0</v>
      </c>
    </row>
    <row r="695" spans="1:17" ht="0.75" customHeight="1" hidden="1">
      <c r="A695" s="306" t="s">
        <v>178</v>
      </c>
      <c r="B695" s="43" t="s">
        <v>226</v>
      </c>
      <c r="C695" s="44" t="s">
        <v>186</v>
      </c>
      <c r="D695" s="44" t="s">
        <v>130</v>
      </c>
      <c r="E695" s="44" t="s">
        <v>179</v>
      </c>
      <c r="F695" s="46" t="s">
        <v>133</v>
      </c>
      <c r="G695" s="131">
        <f>G696</f>
        <v>0</v>
      </c>
      <c r="H695" s="47">
        <f>H696</f>
        <v>0</v>
      </c>
      <c r="I695" s="47">
        <f>I696</f>
        <v>0</v>
      </c>
      <c r="J695" s="131">
        <f>J696</f>
        <v>0</v>
      </c>
      <c r="K695" s="172">
        <f>K696</f>
        <v>0</v>
      </c>
      <c r="L695" s="187"/>
      <c r="M695" s="52"/>
      <c r="N695" s="65">
        <f t="shared" si="121"/>
        <v>0</v>
      </c>
      <c r="O695" s="65">
        <f t="shared" si="122"/>
        <v>0</v>
      </c>
      <c r="P695" s="374">
        <f t="shared" si="123"/>
        <v>0</v>
      </c>
      <c r="Q695" s="375">
        <f t="shared" si="124"/>
        <v>0</v>
      </c>
    </row>
    <row r="696" spans="1:17" ht="13.5" hidden="1" thickBot="1">
      <c r="A696" s="283" t="s">
        <v>321</v>
      </c>
      <c r="B696" s="73" t="s">
        <v>226</v>
      </c>
      <c r="C696" s="74" t="s">
        <v>186</v>
      </c>
      <c r="D696" s="74" t="s">
        <v>130</v>
      </c>
      <c r="E696" s="74" t="s">
        <v>179</v>
      </c>
      <c r="F696" s="75" t="s">
        <v>322</v>
      </c>
      <c r="G696" s="76">
        <f>G697+G698</f>
        <v>0</v>
      </c>
      <c r="H696" s="98">
        <f>H697+H698</f>
        <v>0</v>
      </c>
      <c r="I696" s="98">
        <f>I697+I698</f>
        <v>0</v>
      </c>
      <c r="J696" s="76">
        <f>J697+J698</f>
        <v>0</v>
      </c>
      <c r="K696" s="166">
        <f>K697+K698</f>
        <v>0</v>
      </c>
      <c r="L696" s="189"/>
      <c r="M696" s="59"/>
      <c r="N696" s="65">
        <f t="shared" si="121"/>
        <v>0</v>
      </c>
      <c r="O696" s="65">
        <f t="shared" si="122"/>
        <v>0</v>
      </c>
      <c r="P696" s="374">
        <f t="shared" si="123"/>
        <v>0</v>
      </c>
      <c r="Q696" s="375">
        <f t="shared" si="124"/>
        <v>0</v>
      </c>
    </row>
    <row r="697" spans="1:17" ht="13.5" hidden="1" thickBot="1">
      <c r="A697" s="293"/>
      <c r="B697" s="48"/>
      <c r="C697" s="53"/>
      <c r="D697" s="53"/>
      <c r="E697" s="103" t="s">
        <v>312</v>
      </c>
      <c r="F697" s="55" t="s">
        <v>148</v>
      </c>
      <c r="G697" s="65"/>
      <c r="H697" s="59"/>
      <c r="I697" s="59"/>
      <c r="J697" s="65"/>
      <c r="K697" s="164"/>
      <c r="L697" s="189"/>
      <c r="M697" s="59"/>
      <c r="N697" s="65">
        <f t="shared" si="121"/>
        <v>0</v>
      </c>
      <c r="O697" s="65">
        <f t="shared" si="122"/>
        <v>0</v>
      </c>
      <c r="P697" s="374">
        <f t="shared" si="123"/>
        <v>0</v>
      </c>
      <c r="Q697" s="375">
        <f t="shared" si="124"/>
        <v>0</v>
      </c>
    </row>
    <row r="698" spans="1:17" ht="13.5" hidden="1" thickBot="1">
      <c r="A698" s="304"/>
      <c r="B698" s="26"/>
      <c r="C698" s="56"/>
      <c r="D698" s="56"/>
      <c r="E698" s="102"/>
      <c r="F698" s="58" t="s">
        <v>168</v>
      </c>
      <c r="G698" s="72"/>
      <c r="H698" s="80"/>
      <c r="I698" s="80"/>
      <c r="J698" s="72"/>
      <c r="K698" s="162"/>
      <c r="L698" s="189"/>
      <c r="M698" s="59"/>
      <c r="N698" s="65">
        <f t="shared" si="121"/>
        <v>0</v>
      </c>
      <c r="O698" s="65">
        <f t="shared" si="122"/>
        <v>0</v>
      </c>
      <c r="P698" s="374">
        <f t="shared" si="123"/>
        <v>0</v>
      </c>
      <c r="Q698" s="375">
        <f t="shared" si="124"/>
        <v>0</v>
      </c>
    </row>
    <row r="699" spans="1:17" ht="0.75" customHeight="1" hidden="1">
      <c r="A699" s="304"/>
      <c r="B699" s="26"/>
      <c r="C699" s="56"/>
      <c r="D699" s="56"/>
      <c r="E699" s="102"/>
      <c r="F699" s="58"/>
      <c r="G699" s="136"/>
      <c r="H699" s="136"/>
      <c r="I699" s="136"/>
      <c r="J699" s="136"/>
      <c r="K699" s="111"/>
      <c r="L699" s="111"/>
      <c r="M699" s="111"/>
      <c r="N699" s="111"/>
      <c r="O699" s="136"/>
      <c r="P699" s="398"/>
      <c r="Q699" s="399"/>
    </row>
    <row r="700" spans="1:17" ht="25.5">
      <c r="A700" s="295" t="s">
        <v>514</v>
      </c>
      <c r="B700" s="43" t="s">
        <v>226</v>
      </c>
      <c r="C700" s="44" t="s">
        <v>186</v>
      </c>
      <c r="D700" s="44" t="s">
        <v>130</v>
      </c>
      <c r="E700" s="44" t="s">
        <v>513</v>
      </c>
      <c r="F700" s="46"/>
      <c r="G700" s="131">
        <f aca="true" t="shared" si="125" ref="G700:N701">G702</f>
        <v>279917.5</v>
      </c>
      <c r="H700" s="47">
        <f t="shared" si="125"/>
        <v>279917.5</v>
      </c>
      <c r="I700" s="47">
        <f t="shared" si="125"/>
        <v>279917.5</v>
      </c>
      <c r="J700" s="131">
        <f t="shared" si="125"/>
        <v>27485.499999999996</v>
      </c>
      <c r="K700" s="172">
        <f t="shared" si="125"/>
        <v>307403</v>
      </c>
      <c r="L700" s="172">
        <f t="shared" si="125"/>
        <v>0</v>
      </c>
      <c r="M700" s="172">
        <f t="shared" si="125"/>
        <v>0</v>
      </c>
      <c r="N700" s="172">
        <f t="shared" si="125"/>
        <v>0</v>
      </c>
      <c r="O700" s="131">
        <f>O701</f>
        <v>136356.2</v>
      </c>
      <c r="P700" s="368">
        <f aca="true" t="shared" si="126" ref="P700:Q703">P701</f>
        <v>146565.7</v>
      </c>
      <c r="Q700" s="369">
        <f t="shared" si="126"/>
        <v>157701.4</v>
      </c>
    </row>
    <row r="701" spans="1:17" ht="25.5">
      <c r="A701" s="304" t="s">
        <v>515</v>
      </c>
      <c r="B701" s="26" t="s">
        <v>226</v>
      </c>
      <c r="C701" s="27" t="s">
        <v>186</v>
      </c>
      <c r="D701" s="27" t="s">
        <v>130</v>
      </c>
      <c r="E701" s="27" t="s">
        <v>31</v>
      </c>
      <c r="F701" s="28"/>
      <c r="G701" s="155">
        <f t="shared" si="125"/>
        <v>279917.5</v>
      </c>
      <c r="H701" s="205">
        <f t="shared" si="125"/>
        <v>279917.5</v>
      </c>
      <c r="I701" s="205">
        <f t="shared" si="125"/>
        <v>279917.5</v>
      </c>
      <c r="J701" s="155">
        <f t="shared" si="125"/>
        <v>27485.499999999996</v>
      </c>
      <c r="K701" s="167">
        <f t="shared" si="125"/>
        <v>307403</v>
      </c>
      <c r="L701" s="167">
        <f t="shared" si="125"/>
        <v>0</v>
      </c>
      <c r="M701" s="167">
        <f t="shared" si="125"/>
        <v>0</v>
      </c>
      <c r="N701" s="167">
        <f t="shared" si="125"/>
        <v>0</v>
      </c>
      <c r="O701" s="155">
        <f>O702</f>
        <v>136356.2</v>
      </c>
      <c r="P701" s="396">
        <f t="shared" si="126"/>
        <v>146565.7</v>
      </c>
      <c r="Q701" s="397">
        <f t="shared" si="126"/>
        <v>157701.4</v>
      </c>
    </row>
    <row r="702" spans="1:17" ht="38.25">
      <c r="A702" s="346" t="s">
        <v>517</v>
      </c>
      <c r="B702" s="48" t="s">
        <v>226</v>
      </c>
      <c r="C702" s="49" t="s">
        <v>186</v>
      </c>
      <c r="D702" s="49" t="s">
        <v>130</v>
      </c>
      <c r="E702" s="49" t="s">
        <v>516</v>
      </c>
      <c r="F702" s="51"/>
      <c r="G702" s="71">
        <f aca="true" t="shared" si="127" ref="G702:N703">G703</f>
        <v>279917.5</v>
      </c>
      <c r="H702" s="52">
        <f t="shared" si="127"/>
        <v>279917.5</v>
      </c>
      <c r="I702" s="52">
        <f t="shared" si="127"/>
        <v>279917.5</v>
      </c>
      <c r="J702" s="71">
        <f t="shared" si="127"/>
        <v>27485.499999999996</v>
      </c>
      <c r="K702" s="173">
        <f t="shared" si="127"/>
        <v>307403</v>
      </c>
      <c r="L702" s="173">
        <f t="shared" si="127"/>
        <v>0</v>
      </c>
      <c r="M702" s="173">
        <f t="shared" si="127"/>
        <v>0</v>
      </c>
      <c r="N702" s="173">
        <f t="shared" si="127"/>
        <v>0</v>
      </c>
      <c r="O702" s="71">
        <f>O703</f>
        <v>136356.2</v>
      </c>
      <c r="P702" s="370">
        <f t="shared" si="126"/>
        <v>146565.7</v>
      </c>
      <c r="Q702" s="371">
        <f t="shared" si="126"/>
        <v>157701.4</v>
      </c>
    </row>
    <row r="703" spans="1:17" ht="38.25">
      <c r="A703" s="275" t="s">
        <v>519</v>
      </c>
      <c r="B703" s="73" t="s">
        <v>226</v>
      </c>
      <c r="C703" s="81" t="s">
        <v>186</v>
      </c>
      <c r="D703" s="81" t="s">
        <v>130</v>
      </c>
      <c r="E703" s="81" t="s">
        <v>518</v>
      </c>
      <c r="F703" s="77"/>
      <c r="G703" s="64">
        <f>G704</f>
        <v>279917.5</v>
      </c>
      <c r="H703" s="64">
        <f t="shared" si="127"/>
        <v>279917.5</v>
      </c>
      <c r="I703" s="64">
        <f t="shared" si="127"/>
        <v>279917.5</v>
      </c>
      <c r="J703" s="64">
        <f t="shared" si="127"/>
        <v>27485.499999999996</v>
      </c>
      <c r="K703" s="176">
        <f t="shared" si="127"/>
        <v>307403</v>
      </c>
      <c r="L703" s="176">
        <f t="shared" si="127"/>
        <v>0</v>
      </c>
      <c r="M703" s="176">
        <f t="shared" si="127"/>
        <v>0</v>
      </c>
      <c r="N703" s="176">
        <f t="shared" si="127"/>
        <v>0</v>
      </c>
      <c r="O703" s="64">
        <f>O704</f>
        <v>136356.2</v>
      </c>
      <c r="P703" s="380">
        <f t="shared" si="126"/>
        <v>146565.7</v>
      </c>
      <c r="Q703" s="381">
        <f t="shared" si="126"/>
        <v>157701.4</v>
      </c>
    </row>
    <row r="704" spans="1:17" ht="16.5" customHeight="1" thickBot="1">
      <c r="A704" s="301" t="s">
        <v>90</v>
      </c>
      <c r="B704" s="141" t="s">
        <v>226</v>
      </c>
      <c r="C704" s="67" t="s">
        <v>186</v>
      </c>
      <c r="D704" s="67" t="s">
        <v>130</v>
      </c>
      <c r="E704" s="67" t="s">
        <v>518</v>
      </c>
      <c r="F704" s="69" t="s">
        <v>83</v>
      </c>
      <c r="G704" s="65">
        <f aca="true" t="shared" si="128" ref="G704:N704">G705+G706+G707+G708+G709+G710</f>
        <v>279917.5</v>
      </c>
      <c r="H704" s="65">
        <f t="shared" si="128"/>
        <v>279917.5</v>
      </c>
      <c r="I704" s="65">
        <f t="shared" si="128"/>
        <v>279917.5</v>
      </c>
      <c r="J704" s="65">
        <f t="shared" si="128"/>
        <v>27485.499999999996</v>
      </c>
      <c r="K704" s="164">
        <f t="shared" si="128"/>
        <v>307403</v>
      </c>
      <c r="L704" s="164">
        <f t="shared" si="128"/>
        <v>0</v>
      </c>
      <c r="M704" s="164">
        <f t="shared" si="128"/>
        <v>0</v>
      </c>
      <c r="N704" s="164">
        <f t="shared" si="128"/>
        <v>0</v>
      </c>
      <c r="O704" s="65">
        <f>O705+O706+O707+O708+O709+O710</f>
        <v>136356.2</v>
      </c>
      <c r="P704" s="374">
        <f>P705+P706+P707+P708+P709+P710</f>
        <v>146565.7</v>
      </c>
      <c r="Q704" s="375">
        <f>Q705+Q706+Q707+Q708+Q709+Q710</f>
        <v>157701.4</v>
      </c>
    </row>
    <row r="705" spans="1:17" ht="12.75" hidden="1">
      <c r="A705" s="299"/>
      <c r="B705" s="48"/>
      <c r="C705" s="53"/>
      <c r="D705" s="53"/>
      <c r="E705" s="53"/>
      <c r="F705" s="55" t="s">
        <v>146</v>
      </c>
      <c r="G705" s="65">
        <v>211935.09984</v>
      </c>
      <c r="H705" s="59">
        <v>211935.1</v>
      </c>
      <c r="I705" s="59">
        <v>211935.1</v>
      </c>
      <c r="J705" s="65">
        <v>20929.26</v>
      </c>
      <c r="K705" s="164">
        <f aca="true" t="shared" si="129" ref="K705:K710">G705+J705</f>
        <v>232864.35984000002</v>
      </c>
      <c r="L705" s="189"/>
      <c r="M705" s="59"/>
      <c r="N705" s="65"/>
      <c r="O705" s="65">
        <v>136356.2</v>
      </c>
      <c r="P705" s="374">
        <v>146565.7</v>
      </c>
      <c r="Q705" s="375">
        <v>157701.4</v>
      </c>
    </row>
    <row r="706" spans="1:17" ht="12.75" hidden="1">
      <c r="A706" s="302"/>
      <c r="B706" s="26"/>
      <c r="C706" s="56"/>
      <c r="D706" s="56"/>
      <c r="E706" s="56"/>
      <c r="F706" s="58" t="s">
        <v>148</v>
      </c>
      <c r="G706" s="65">
        <v>64004.40016</v>
      </c>
      <c r="H706" s="59">
        <v>64004.4</v>
      </c>
      <c r="I706" s="59">
        <v>64004.4</v>
      </c>
      <c r="J706" s="65">
        <v>6320.637</v>
      </c>
      <c r="K706" s="164">
        <f t="shared" si="129"/>
        <v>70325.03715999999</v>
      </c>
      <c r="L706" s="189"/>
      <c r="M706" s="59"/>
      <c r="N706" s="65"/>
      <c r="O706" s="65"/>
      <c r="P706" s="374"/>
      <c r="Q706" s="375"/>
    </row>
    <row r="707" spans="1:17" ht="12.75" hidden="1">
      <c r="A707" s="299"/>
      <c r="B707" s="48"/>
      <c r="C707" s="53"/>
      <c r="D707" s="53"/>
      <c r="E707" s="53"/>
      <c r="F707" s="55" t="s">
        <v>164</v>
      </c>
      <c r="G707" s="65"/>
      <c r="H707" s="59"/>
      <c r="I707" s="59"/>
      <c r="J707" s="65"/>
      <c r="K707" s="164">
        <f t="shared" si="129"/>
        <v>0</v>
      </c>
      <c r="L707" s="189"/>
      <c r="M707" s="59"/>
      <c r="N707" s="65"/>
      <c r="O707" s="65"/>
      <c r="P707" s="374"/>
      <c r="Q707" s="375"/>
    </row>
    <row r="708" spans="1:17" ht="12.75" hidden="1">
      <c r="A708" s="302"/>
      <c r="B708" s="26"/>
      <c r="C708" s="56"/>
      <c r="D708" s="56"/>
      <c r="E708" s="56"/>
      <c r="F708" s="58" t="s">
        <v>167</v>
      </c>
      <c r="G708" s="65">
        <v>319</v>
      </c>
      <c r="H708" s="59"/>
      <c r="I708" s="59"/>
      <c r="J708" s="65"/>
      <c r="K708" s="164">
        <f t="shared" si="129"/>
        <v>319</v>
      </c>
      <c r="L708" s="189"/>
      <c r="M708" s="59"/>
      <c r="N708" s="65"/>
      <c r="O708" s="65"/>
      <c r="P708" s="374"/>
      <c r="Q708" s="375"/>
    </row>
    <row r="709" spans="1:17" ht="12.75" hidden="1">
      <c r="A709" s="293"/>
      <c r="B709" s="48"/>
      <c r="C709" s="53"/>
      <c r="D709" s="53"/>
      <c r="E709" s="53"/>
      <c r="F709" s="55" t="s">
        <v>169</v>
      </c>
      <c r="G709" s="65">
        <v>3375.788</v>
      </c>
      <c r="H709" s="59">
        <v>3978</v>
      </c>
      <c r="I709" s="59">
        <v>3978</v>
      </c>
      <c r="J709" s="65">
        <v>257.103</v>
      </c>
      <c r="K709" s="164">
        <f t="shared" si="129"/>
        <v>3632.891</v>
      </c>
      <c r="L709" s="189"/>
      <c r="M709" s="59"/>
      <c r="N709" s="65"/>
      <c r="O709" s="65"/>
      <c r="P709" s="374"/>
      <c r="Q709" s="375"/>
    </row>
    <row r="710" spans="1:17" ht="13.5" hidden="1" thickBot="1">
      <c r="A710" s="304"/>
      <c r="B710" s="26"/>
      <c r="C710" s="56"/>
      <c r="D710" s="56"/>
      <c r="E710" s="56"/>
      <c r="F710" s="58" t="s">
        <v>170</v>
      </c>
      <c r="G710" s="72">
        <v>283.212</v>
      </c>
      <c r="H710" s="80"/>
      <c r="I710" s="80"/>
      <c r="J710" s="72">
        <v>-21.5</v>
      </c>
      <c r="K710" s="162">
        <f t="shared" si="129"/>
        <v>261.712</v>
      </c>
      <c r="L710" s="189"/>
      <c r="M710" s="59"/>
      <c r="N710" s="65"/>
      <c r="O710" s="65"/>
      <c r="P710" s="374"/>
      <c r="Q710" s="375"/>
    </row>
    <row r="711" spans="1:17" ht="16.5" customHeight="1" thickBot="1">
      <c r="A711" s="268" t="s">
        <v>327</v>
      </c>
      <c r="B711" s="16" t="s">
        <v>133</v>
      </c>
      <c r="C711" s="17" t="s">
        <v>186</v>
      </c>
      <c r="D711" s="17" t="s">
        <v>135</v>
      </c>
      <c r="E711" s="17"/>
      <c r="F711" s="19"/>
      <c r="G711" s="130" t="e">
        <f>G712+G752+#REF!+G739+#REF!+#REF!+#REF!+G750</f>
        <v>#REF!</v>
      </c>
      <c r="H711" s="130" t="e">
        <f>H712+H752+#REF!+H739+#REF!+#REF!+#REF!+H750</f>
        <v>#REF!</v>
      </c>
      <c r="I711" s="130" t="e">
        <f>I712+I752+#REF!+I739+#REF!+#REF!+#REF!+I750</f>
        <v>#REF!</v>
      </c>
      <c r="J711" s="130" t="e">
        <f>J712+J752+#REF!+J739+#REF!+#REF!+#REF!+J750</f>
        <v>#REF!</v>
      </c>
      <c r="K711" s="171" t="e">
        <f>K712+K752+#REF!+K739+#REF!+#REF!+#REF!+K750</f>
        <v>#REF!</v>
      </c>
      <c r="L711" s="171" t="e">
        <f>L712+L752+#REF!+L739+#REF!+#REF!+#REF!+L750</f>
        <v>#REF!</v>
      </c>
      <c r="M711" s="171" t="e">
        <f>M712+M752+#REF!+M739+#REF!+#REF!+#REF!+M750</f>
        <v>#REF!</v>
      </c>
      <c r="N711" s="171">
        <f>N712+N720+N739+N752</f>
        <v>317577.7</v>
      </c>
      <c r="O711" s="130">
        <f>O712+O720+O739+O752+O759+O770+O782</f>
        <v>386487.28</v>
      </c>
      <c r="P711" s="366">
        <f>P712+P720+P739+P752+P759+P770+P782</f>
        <v>414945.57</v>
      </c>
      <c r="Q711" s="367">
        <f>Q712+Q720+Q739+Q752+Q759+Q770+Q782</f>
        <v>442891.66000000003</v>
      </c>
    </row>
    <row r="712" spans="1:17" ht="16.5" customHeight="1">
      <c r="A712" s="275" t="s">
        <v>328</v>
      </c>
      <c r="B712" s="73" t="s">
        <v>226</v>
      </c>
      <c r="C712" s="81" t="s">
        <v>186</v>
      </c>
      <c r="D712" s="81" t="s">
        <v>135</v>
      </c>
      <c r="E712" s="81" t="s">
        <v>459</v>
      </c>
      <c r="F712" s="77"/>
      <c r="G712" s="64" t="e">
        <f>#REF!+#REF!</f>
        <v>#REF!</v>
      </c>
      <c r="H712" s="64" t="e">
        <f>#REF!+#REF!</f>
        <v>#REF!</v>
      </c>
      <c r="I712" s="64" t="e">
        <f>#REF!+#REF!</f>
        <v>#REF!</v>
      </c>
      <c r="J712" s="64" t="e">
        <f>#REF!+#REF!</f>
        <v>#REF!</v>
      </c>
      <c r="K712" s="176" t="e">
        <f>#REF!+#REF!</f>
        <v>#REF!</v>
      </c>
      <c r="L712" s="176" t="e">
        <f>#REF!+#REF!</f>
        <v>#REF!</v>
      </c>
      <c r="M712" s="176" t="e">
        <f>#REF!+#REF!</f>
        <v>#REF!</v>
      </c>
      <c r="N712" s="176">
        <f>N713</f>
        <v>0</v>
      </c>
      <c r="O712" s="64">
        <f>O713</f>
        <v>4395.09</v>
      </c>
      <c r="P712" s="380">
        <f>P713</f>
        <v>4395.12</v>
      </c>
      <c r="Q712" s="381">
        <f>Q713</f>
        <v>4395.1</v>
      </c>
    </row>
    <row r="713" spans="1:17" ht="16.5" customHeight="1" thickBot="1">
      <c r="A713" s="278" t="s">
        <v>90</v>
      </c>
      <c r="B713" s="139" t="s">
        <v>226</v>
      </c>
      <c r="C713" s="87" t="s">
        <v>186</v>
      </c>
      <c r="D713" s="87" t="s">
        <v>135</v>
      </c>
      <c r="E713" s="87" t="s">
        <v>460</v>
      </c>
      <c r="F713" s="88" t="s">
        <v>83</v>
      </c>
      <c r="G713" s="70"/>
      <c r="H713" s="70"/>
      <c r="I713" s="70"/>
      <c r="J713" s="70"/>
      <c r="K713" s="177"/>
      <c r="L713" s="177"/>
      <c r="M713" s="177"/>
      <c r="N713" s="177"/>
      <c r="O713" s="70">
        <f>O714+O715+O716</f>
        <v>4395.09</v>
      </c>
      <c r="P713" s="376">
        <f>P714+P715+P716+0.03</f>
        <v>4395.12</v>
      </c>
      <c r="Q713" s="377">
        <f>Q714+Q715+Q716+0.01</f>
        <v>4395.1</v>
      </c>
    </row>
    <row r="714" spans="1:17" ht="15" customHeight="1" hidden="1">
      <c r="A714" s="276"/>
      <c r="B714" s="105"/>
      <c r="C714" s="74"/>
      <c r="D714" s="74"/>
      <c r="E714" s="74"/>
      <c r="F714" s="75" t="s">
        <v>146</v>
      </c>
      <c r="G714" s="76"/>
      <c r="H714" s="76"/>
      <c r="I714" s="76"/>
      <c r="J714" s="76"/>
      <c r="K714" s="166"/>
      <c r="L714" s="166"/>
      <c r="M714" s="166"/>
      <c r="N714" s="166"/>
      <c r="O714" s="76">
        <v>1888</v>
      </c>
      <c r="P714" s="382">
        <v>1888</v>
      </c>
      <c r="Q714" s="383">
        <v>1888</v>
      </c>
    </row>
    <row r="715" spans="1:17" ht="12.75" customHeight="1" hidden="1">
      <c r="A715" s="277"/>
      <c r="B715" s="99"/>
      <c r="C715" s="53"/>
      <c r="D715" s="53"/>
      <c r="E715" s="53"/>
      <c r="F715" s="55" t="s">
        <v>148</v>
      </c>
      <c r="G715" s="76"/>
      <c r="H715" s="76"/>
      <c r="I715" s="76"/>
      <c r="J715" s="76"/>
      <c r="K715" s="166"/>
      <c r="L715" s="166"/>
      <c r="M715" s="166"/>
      <c r="N715" s="166"/>
      <c r="O715" s="76">
        <v>570.18</v>
      </c>
      <c r="P715" s="382">
        <v>570.18</v>
      </c>
      <c r="Q715" s="383">
        <v>570.18</v>
      </c>
    </row>
    <row r="716" spans="1:17" ht="12.75" customHeight="1" hidden="1">
      <c r="A716" s="277"/>
      <c r="B716" s="99"/>
      <c r="C716" s="53"/>
      <c r="D716" s="53"/>
      <c r="E716" s="53"/>
      <c r="F716" s="55" t="s">
        <v>168</v>
      </c>
      <c r="G716" s="76"/>
      <c r="H716" s="76"/>
      <c r="I716" s="76"/>
      <c r="J716" s="76"/>
      <c r="K716" s="166"/>
      <c r="L716" s="166"/>
      <c r="M716" s="166"/>
      <c r="N716" s="166"/>
      <c r="O716" s="76">
        <v>1936.91</v>
      </c>
      <c r="P716" s="382">
        <v>1936.91</v>
      </c>
      <c r="Q716" s="383">
        <v>1936.91</v>
      </c>
    </row>
    <row r="717" spans="1:17" ht="18" customHeight="1" hidden="1">
      <c r="A717" s="277"/>
      <c r="B717" s="99"/>
      <c r="C717" s="53"/>
      <c r="D717" s="53"/>
      <c r="E717" s="53"/>
      <c r="F717" s="55"/>
      <c r="G717" s="76"/>
      <c r="H717" s="76"/>
      <c r="I717" s="76"/>
      <c r="J717" s="76"/>
      <c r="K717" s="166"/>
      <c r="L717" s="166"/>
      <c r="M717" s="166"/>
      <c r="N717" s="166"/>
      <c r="O717" s="76"/>
      <c r="P717" s="382"/>
      <c r="Q717" s="383"/>
    </row>
    <row r="718" spans="1:17" ht="18" customHeight="1" hidden="1">
      <c r="A718" s="277"/>
      <c r="B718" s="99"/>
      <c r="C718" s="53"/>
      <c r="D718" s="53"/>
      <c r="E718" s="53"/>
      <c r="F718" s="55"/>
      <c r="G718" s="76"/>
      <c r="H718" s="76"/>
      <c r="I718" s="76"/>
      <c r="J718" s="76"/>
      <c r="K718" s="166"/>
      <c r="L718" s="166"/>
      <c r="M718" s="166"/>
      <c r="N718" s="166"/>
      <c r="O718" s="76"/>
      <c r="P718" s="382"/>
      <c r="Q718" s="383"/>
    </row>
    <row r="719" spans="1:17" ht="18" customHeight="1" hidden="1">
      <c r="A719" s="277"/>
      <c r="B719" s="99"/>
      <c r="C719" s="53"/>
      <c r="D719" s="53"/>
      <c r="E719" s="53"/>
      <c r="F719" s="55"/>
      <c r="G719" s="76"/>
      <c r="H719" s="76"/>
      <c r="I719" s="76"/>
      <c r="J719" s="76"/>
      <c r="K719" s="166"/>
      <c r="L719" s="166"/>
      <c r="M719" s="166"/>
      <c r="N719" s="166"/>
      <c r="O719" s="76"/>
      <c r="P719" s="382"/>
      <c r="Q719" s="383"/>
    </row>
    <row r="720" spans="1:17" ht="16.5" customHeight="1">
      <c r="A720" s="272" t="s">
        <v>402</v>
      </c>
      <c r="B720" s="153" t="s">
        <v>226</v>
      </c>
      <c r="C720" s="154" t="s">
        <v>186</v>
      </c>
      <c r="D720" s="154" t="s">
        <v>135</v>
      </c>
      <c r="E720" s="27" t="s">
        <v>219</v>
      </c>
      <c r="F720" s="215"/>
      <c r="G720" s="72"/>
      <c r="H720" s="80"/>
      <c r="I720" s="80"/>
      <c r="J720" s="72"/>
      <c r="K720" s="162"/>
      <c r="L720" s="194"/>
      <c r="M720" s="80"/>
      <c r="N720" s="72"/>
      <c r="O720" s="134">
        <f>O721</f>
        <v>10891.67</v>
      </c>
      <c r="P720" s="394">
        <f>P721</f>
        <v>14462.96</v>
      </c>
      <c r="Q720" s="395">
        <f>Q721</f>
        <v>13086.14</v>
      </c>
    </row>
    <row r="721" spans="1:17" ht="16.5" customHeight="1">
      <c r="A721" s="270" t="s">
        <v>442</v>
      </c>
      <c r="B721" s="48" t="s">
        <v>226</v>
      </c>
      <c r="C721" s="49" t="s">
        <v>186</v>
      </c>
      <c r="D721" s="49" t="s">
        <v>135</v>
      </c>
      <c r="E721" s="49" t="s">
        <v>346</v>
      </c>
      <c r="F721" s="237"/>
      <c r="G721" s="65"/>
      <c r="H721" s="59"/>
      <c r="I721" s="59"/>
      <c r="J721" s="65"/>
      <c r="K721" s="164"/>
      <c r="L721" s="189"/>
      <c r="M721" s="59"/>
      <c r="N721" s="65"/>
      <c r="O721" s="71">
        <f>O722+O724+O726+O728+O730+O732+O734+O737</f>
        <v>10891.67</v>
      </c>
      <c r="P721" s="370">
        <f>P722+P724+P726+P728+P730+P732+P734+P737</f>
        <v>14462.96</v>
      </c>
      <c r="Q721" s="371">
        <f>Q722+Q724+Q726+Q728+Q730+Q732+Q734+Q737</f>
        <v>13086.14</v>
      </c>
    </row>
    <row r="722" spans="1:17" ht="16.5" customHeight="1">
      <c r="A722" s="272" t="s">
        <v>443</v>
      </c>
      <c r="B722" s="153" t="s">
        <v>226</v>
      </c>
      <c r="C722" s="154" t="s">
        <v>186</v>
      </c>
      <c r="D722" s="154" t="s">
        <v>135</v>
      </c>
      <c r="E722" s="27" t="s">
        <v>444</v>
      </c>
      <c r="F722" s="215"/>
      <c r="G722" s="136"/>
      <c r="H722" s="97"/>
      <c r="I722" s="97"/>
      <c r="J722" s="136"/>
      <c r="K722" s="111"/>
      <c r="L722" s="239"/>
      <c r="M722" s="97"/>
      <c r="N722" s="155"/>
      <c r="O722" s="155">
        <f>O723</f>
        <v>396</v>
      </c>
      <c r="P722" s="396">
        <f>P723</f>
        <v>320.3</v>
      </c>
      <c r="Q722" s="397">
        <f>Q723</f>
        <v>324.3</v>
      </c>
    </row>
    <row r="723" spans="1:17" ht="16.5" customHeight="1">
      <c r="A723" s="299" t="s">
        <v>90</v>
      </c>
      <c r="B723" s="227" t="s">
        <v>226</v>
      </c>
      <c r="C723" s="228" t="s">
        <v>186</v>
      </c>
      <c r="D723" s="228" t="s">
        <v>135</v>
      </c>
      <c r="E723" s="53" t="s">
        <v>445</v>
      </c>
      <c r="F723" s="229" t="s">
        <v>83</v>
      </c>
      <c r="G723" s="65"/>
      <c r="H723" s="59"/>
      <c r="I723" s="59"/>
      <c r="J723" s="65"/>
      <c r="K723" s="164"/>
      <c r="L723" s="189"/>
      <c r="M723" s="59"/>
      <c r="N723" s="65"/>
      <c r="O723" s="65">
        <v>396</v>
      </c>
      <c r="P723" s="374">
        <v>320.3</v>
      </c>
      <c r="Q723" s="375">
        <v>324.3</v>
      </c>
    </row>
    <row r="724" spans="1:17" ht="16.5" customHeight="1">
      <c r="A724" s="272" t="s">
        <v>446</v>
      </c>
      <c r="B724" s="153" t="s">
        <v>226</v>
      </c>
      <c r="C724" s="154" t="s">
        <v>186</v>
      </c>
      <c r="D724" s="154" t="s">
        <v>135</v>
      </c>
      <c r="E724" s="27" t="s">
        <v>447</v>
      </c>
      <c r="F724" s="215"/>
      <c r="G724" s="136"/>
      <c r="H724" s="97"/>
      <c r="I724" s="97"/>
      <c r="J724" s="136"/>
      <c r="K724" s="111"/>
      <c r="L724" s="239"/>
      <c r="M724" s="97"/>
      <c r="N724" s="155"/>
      <c r="O724" s="155">
        <f>O725</f>
        <v>70</v>
      </c>
      <c r="P724" s="396">
        <f>P725</f>
        <v>64.88</v>
      </c>
      <c r="Q724" s="397">
        <f>Q725</f>
        <v>68.18</v>
      </c>
    </row>
    <row r="725" spans="1:17" ht="16.5" customHeight="1">
      <c r="A725" s="299" t="s">
        <v>90</v>
      </c>
      <c r="B725" s="227" t="s">
        <v>226</v>
      </c>
      <c r="C725" s="228" t="s">
        <v>186</v>
      </c>
      <c r="D725" s="228" t="s">
        <v>135</v>
      </c>
      <c r="E725" s="53" t="s">
        <v>447</v>
      </c>
      <c r="F725" s="229" t="s">
        <v>83</v>
      </c>
      <c r="G725" s="65"/>
      <c r="H725" s="59"/>
      <c r="I725" s="59"/>
      <c r="J725" s="65"/>
      <c r="K725" s="164"/>
      <c r="L725" s="189"/>
      <c r="M725" s="59"/>
      <c r="N725" s="65"/>
      <c r="O725" s="65">
        <v>70</v>
      </c>
      <c r="P725" s="374">
        <v>64.88</v>
      </c>
      <c r="Q725" s="375">
        <v>68.18</v>
      </c>
    </row>
    <row r="726" spans="1:17" ht="16.5" customHeight="1">
      <c r="A726" s="304" t="s">
        <v>461</v>
      </c>
      <c r="B726" s="26" t="s">
        <v>226</v>
      </c>
      <c r="C726" s="27" t="s">
        <v>186</v>
      </c>
      <c r="D726" s="27" t="s">
        <v>135</v>
      </c>
      <c r="E726" s="27" t="s">
        <v>462</v>
      </c>
      <c r="F726" s="28"/>
      <c r="G726" s="155"/>
      <c r="H726" s="205"/>
      <c r="I726" s="205"/>
      <c r="J726" s="155"/>
      <c r="K726" s="167"/>
      <c r="L726" s="240"/>
      <c r="M726" s="205"/>
      <c r="N726" s="155"/>
      <c r="O726" s="155">
        <f>O727</f>
        <v>909.1</v>
      </c>
      <c r="P726" s="396">
        <f>P727</f>
        <v>955.45</v>
      </c>
      <c r="Q726" s="397">
        <f>Q727</f>
        <v>1004.2</v>
      </c>
    </row>
    <row r="727" spans="1:17" ht="16.5" customHeight="1">
      <c r="A727" s="299" t="s">
        <v>90</v>
      </c>
      <c r="B727" s="227" t="s">
        <v>463</v>
      </c>
      <c r="C727" s="228" t="s">
        <v>347</v>
      </c>
      <c r="D727" s="228" t="s">
        <v>135</v>
      </c>
      <c r="E727" s="53" t="s">
        <v>462</v>
      </c>
      <c r="F727" s="229" t="s">
        <v>83</v>
      </c>
      <c r="G727" s="65"/>
      <c r="H727" s="59"/>
      <c r="I727" s="59"/>
      <c r="J727" s="65"/>
      <c r="K727" s="164"/>
      <c r="L727" s="189"/>
      <c r="M727" s="59"/>
      <c r="N727" s="65"/>
      <c r="O727" s="65">
        <v>909.1</v>
      </c>
      <c r="P727" s="374">
        <v>955.45</v>
      </c>
      <c r="Q727" s="375">
        <v>1004.2</v>
      </c>
    </row>
    <row r="728" spans="1:17" ht="16.5" customHeight="1">
      <c r="A728" s="304" t="s">
        <v>464</v>
      </c>
      <c r="B728" s="26" t="s">
        <v>226</v>
      </c>
      <c r="C728" s="27" t="s">
        <v>186</v>
      </c>
      <c r="D728" s="27" t="s">
        <v>135</v>
      </c>
      <c r="E728" s="27" t="s">
        <v>465</v>
      </c>
      <c r="F728" s="215"/>
      <c r="G728" s="155"/>
      <c r="H728" s="205"/>
      <c r="I728" s="205"/>
      <c r="J728" s="155"/>
      <c r="K728" s="167"/>
      <c r="L728" s="240"/>
      <c r="M728" s="205"/>
      <c r="N728" s="155"/>
      <c r="O728" s="155">
        <f>O729</f>
        <v>535.94</v>
      </c>
      <c r="P728" s="396">
        <f>P729</f>
        <v>945.9</v>
      </c>
      <c r="Q728" s="397">
        <f>Q729</f>
        <v>994.14</v>
      </c>
    </row>
    <row r="729" spans="1:17" ht="16.5" customHeight="1">
      <c r="A729" s="299" t="s">
        <v>90</v>
      </c>
      <c r="B729" s="227" t="s">
        <v>463</v>
      </c>
      <c r="C729" s="228" t="s">
        <v>347</v>
      </c>
      <c r="D729" s="228" t="s">
        <v>135</v>
      </c>
      <c r="E729" s="53" t="s">
        <v>465</v>
      </c>
      <c r="F729" s="229" t="s">
        <v>83</v>
      </c>
      <c r="G729" s="65"/>
      <c r="H729" s="59"/>
      <c r="I729" s="59"/>
      <c r="J729" s="65"/>
      <c r="K729" s="164"/>
      <c r="L729" s="189"/>
      <c r="M729" s="59"/>
      <c r="N729" s="65"/>
      <c r="O729" s="65">
        <v>535.94</v>
      </c>
      <c r="P729" s="374">
        <v>945.9</v>
      </c>
      <c r="Q729" s="375">
        <v>994.14</v>
      </c>
    </row>
    <row r="730" spans="1:18" ht="16.5" customHeight="1">
      <c r="A730" s="275" t="s">
        <v>448</v>
      </c>
      <c r="B730" s="73" t="s">
        <v>226</v>
      </c>
      <c r="C730" s="81" t="s">
        <v>186</v>
      </c>
      <c r="D730" s="81" t="s">
        <v>135</v>
      </c>
      <c r="E730" s="81" t="s">
        <v>449</v>
      </c>
      <c r="F730" s="77"/>
      <c r="G730" s="76"/>
      <c r="H730" s="98"/>
      <c r="I730" s="98"/>
      <c r="J730" s="76"/>
      <c r="K730" s="166"/>
      <c r="L730" s="199"/>
      <c r="M730" s="98"/>
      <c r="N730" s="76"/>
      <c r="O730" s="64">
        <f>O731</f>
        <v>73.2</v>
      </c>
      <c r="P730" s="380">
        <f>P731</f>
        <v>76.93</v>
      </c>
      <c r="Q730" s="381">
        <f>Q731</f>
        <v>80.85</v>
      </c>
      <c r="R730" s="1"/>
    </row>
    <row r="731" spans="1:17" ht="16.5" customHeight="1">
      <c r="A731" s="301" t="s">
        <v>90</v>
      </c>
      <c r="B731" s="105" t="s">
        <v>226</v>
      </c>
      <c r="C731" s="74" t="s">
        <v>186</v>
      </c>
      <c r="D731" s="74" t="s">
        <v>135</v>
      </c>
      <c r="E731" s="74" t="s">
        <v>449</v>
      </c>
      <c r="F731" s="75" t="s">
        <v>377</v>
      </c>
      <c r="G731" s="65"/>
      <c r="H731" s="59"/>
      <c r="I731" s="59"/>
      <c r="J731" s="65"/>
      <c r="K731" s="164"/>
      <c r="L731" s="189"/>
      <c r="M731" s="59"/>
      <c r="N731" s="65"/>
      <c r="O731" s="65">
        <v>73.2</v>
      </c>
      <c r="P731" s="374">
        <v>76.93</v>
      </c>
      <c r="Q731" s="375">
        <v>80.85</v>
      </c>
    </row>
    <row r="732" spans="1:17" ht="16.5" customHeight="1">
      <c r="A732" s="281" t="s">
        <v>450</v>
      </c>
      <c r="B732" s="66" t="s">
        <v>226</v>
      </c>
      <c r="C732" s="92" t="s">
        <v>186</v>
      </c>
      <c r="D732" s="92" t="s">
        <v>135</v>
      </c>
      <c r="E732" s="92" t="s">
        <v>451</v>
      </c>
      <c r="F732" s="94"/>
      <c r="G732" s="65"/>
      <c r="H732" s="59"/>
      <c r="I732" s="59"/>
      <c r="J732" s="65"/>
      <c r="K732" s="164"/>
      <c r="L732" s="189"/>
      <c r="M732" s="59"/>
      <c r="N732" s="65"/>
      <c r="O732" s="71">
        <f>O733</f>
        <v>6651.44</v>
      </c>
      <c r="P732" s="370">
        <f>P733</f>
        <v>7736.41</v>
      </c>
      <c r="Q732" s="371">
        <f>Q733</f>
        <v>8138.85</v>
      </c>
    </row>
    <row r="733" spans="1:17" ht="16.5" customHeight="1">
      <c r="A733" s="301" t="s">
        <v>90</v>
      </c>
      <c r="B733" s="141" t="s">
        <v>226</v>
      </c>
      <c r="C733" s="67" t="s">
        <v>186</v>
      </c>
      <c r="D733" s="67" t="s">
        <v>135</v>
      </c>
      <c r="E733" s="67" t="s">
        <v>452</v>
      </c>
      <c r="F733" s="69" t="s">
        <v>83</v>
      </c>
      <c r="G733" s="65"/>
      <c r="H733" s="59"/>
      <c r="I733" s="59"/>
      <c r="J733" s="65"/>
      <c r="K733" s="164"/>
      <c r="L733" s="189"/>
      <c r="M733" s="59"/>
      <c r="N733" s="65"/>
      <c r="O733" s="65">
        <v>6651.44</v>
      </c>
      <c r="P733" s="374">
        <v>7736.41</v>
      </c>
      <c r="Q733" s="375">
        <v>8138.85</v>
      </c>
    </row>
    <row r="734" spans="1:17" ht="16.5" customHeight="1">
      <c r="A734" s="307" t="s">
        <v>466</v>
      </c>
      <c r="B734" s="66" t="s">
        <v>226</v>
      </c>
      <c r="C734" s="92" t="s">
        <v>186</v>
      </c>
      <c r="D734" s="92" t="s">
        <v>135</v>
      </c>
      <c r="E734" s="92" t="s">
        <v>467</v>
      </c>
      <c r="F734" s="94"/>
      <c r="G734" s="71"/>
      <c r="H734" s="52"/>
      <c r="I734" s="52"/>
      <c r="J734" s="71"/>
      <c r="K734" s="173"/>
      <c r="L734" s="187"/>
      <c r="M734" s="52"/>
      <c r="N734" s="71"/>
      <c r="O734" s="71">
        <f>O736</f>
        <v>1425.48</v>
      </c>
      <c r="P734" s="370">
        <f>P735+P736</f>
        <v>1490.22</v>
      </c>
      <c r="Q734" s="406">
        <f>Q735+Q736</f>
        <v>1558.24</v>
      </c>
    </row>
    <row r="735" spans="1:17" ht="16.5" customHeight="1">
      <c r="A735" s="317" t="s">
        <v>93</v>
      </c>
      <c r="B735" s="141" t="s">
        <v>226</v>
      </c>
      <c r="C735" s="67" t="s">
        <v>186</v>
      </c>
      <c r="D735" s="67" t="s">
        <v>135</v>
      </c>
      <c r="E735" s="67" t="s">
        <v>468</v>
      </c>
      <c r="F735" s="69" t="s">
        <v>169</v>
      </c>
      <c r="G735" s="65"/>
      <c r="H735" s="59"/>
      <c r="I735" s="59"/>
      <c r="J735" s="65"/>
      <c r="K735" s="164"/>
      <c r="L735" s="189"/>
      <c r="M735" s="59"/>
      <c r="N735" s="65"/>
      <c r="O735" s="65"/>
      <c r="P735" s="374">
        <v>176.3</v>
      </c>
      <c r="Q735" s="375">
        <v>176.3</v>
      </c>
    </row>
    <row r="736" spans="1:17" ht="16.5" customHeight="1">
      <c r="A736" s="301" t="s">
        <v>90</v>
      </c>
      <c r="B736" s="141" t="s">
        <v>226</v>
      </c>
      <c r="C736" s="67" t="s">
        <v>186</v>
      </c>
      <c r="D736" s="67" t="s">
        <v>135</v>
      </c>
      <c r="E736" s="67" t="s">
        <v>468</v>
      </c>
      <c r="F736" s="69" t="s">
        <v>83</v>
      </c>
      <c r="G736" s="65"/>
      <c r="H736" s="59"/>
      <c r="I736" s="59"/>
      <c r="J736" s="65"/>
      <c r="K736" s="164"/>
      <c r="L736" s="189"/>
      <c r="M736" s="59"/>
      <c r="N736" s="65"/>
      <c r="O736" s="65">
        <v>1425.48</v>
      </c>
      <c r="P736" s="374">
        <f>1490.22-176.3</f>
        <v>1313.92</v>
      </c>
      <c r="Q736" s="375">
        <f>1558.24-176.3</f>
        <v>1381.94</v>
      </c>
    </row>
    <row r="737" spans="1:17" ht="16.5" customHeight="1">
      <c r="A737" s="293" t="s">
        <v>453</v>
      </c>
      <c r="B737" s="66" t="s">
        <v>226</v>
      </c>
      <c r="C737" s="92" t="s">
        <v>186</v>
      </c>
      <c r="D737" s="92" t="s">
        <v>135</v>
      </c>
      <c r="E737" s="92" t="s">
        <v>454</v>
      </c>
      <c r="F737" s="51"/>
      <c r="G737" s="65">
        <v>0</v>
      </c>
      <c r="H737" s="59">
        <f>159*0.91</f>
        <v>144.69</v>
      </c>
      <c r="I737" s="59">
        <f>167*0.95</f>
        <v>158.65</v>
      </c>
      <c r="J737" s="65"/>
      <c r="K737" s="164">
        <f>G737+J737</f>
        <v>0</v>
      </c>
      <c r="L737" s="189"/>
      <c r="M737" s="59"/>
      <c r="N737" s="71">
        <f>N738</f>
        <v>0</v>
      </c>
      <c r="O737" s="71">
        <f>O738</f>
        <v>830.51</v>
      </c>
      <c r="P737" s="370">
        <f>P738</f>
        <v>2872.87</v>
      </c>
      <c r="Q737" s="371">
        <f>Q738</f>
        <v>917.38</v>
      </c>
    </row>
    <row r="738" spans="1:17" ht="16.5" customHeight="1" thickBot="1">
      <c r="A738" s="301" t="s">
        <v>90</v>
      </c>
      <c r="B738" s="141" t="s">
        <v>226</v>
      </c>
      <c r="C738" s="67" t="s">
        <v>186</v>
      </c>
      <c r="D738" s="67" t="s">
        <v>135</v>
      </c>
      <c r="E738" s="67" t="s">
        <v>455</v>
      </c>
      <c r="F738" s="69" t="s">
        <v>83</v>
      </c>
      <c r="G738" s="65">
        <v>1088.57409</v>
      </c>
      <c r="H738" s="59" t="e">
        <f>#REF!*0.302</f>
        <v>#REF!</v>
      </c>
      <c r="I738" s="59" t="e">
        <f>#REF!*0.302*0.95</f>
        <v>#REF!</v>
      </c>
      <c r="J738" s="65">
        <v>-84.57994</v>
      </c>
      <c r="K738" s="164">
        <v>1003.99415</v>
      </c>
      <c r="L738" s="189">
        <v>3.01566</v>
      </c>
      <c r="M738" s="59"/>
      <c r="N738" s="65"/>
      <c r="O738" s="65">
        <v>830.51</v>
      </c>
      <c r="P738" s="374">
        <v>2872.87</v>
      </c>
      <c r="Q738" s="375">
        <v>917.38</v>
      </c>
    </row>
    <row r="739" spans="1:17" ht="25.5">
      <c r="A739" s="295" t="s">
        <v>514</v>
      </c>
      <c r="B739" s="43" t="s">
        <v>226</v>
      </c>
      <c r="C739" s="44" t="s">
        <v>186</v>
      </c>
      <c r="D739" s="44" t="s">
        <v>135</v>
      </c>
      <c r="E739" s="44" t="s">
        <v>513</v>
      </c>
      <c r="F739" s="46"/>
      <c r="G739" s="138">
        <f aca="true" t="shared" si="130" ref="G739:N740">G740</f>
        <v>279917.5</v>
      </c>
      <c r="H739" s="34">
        <f t="shared" si="130"/>
        <v>279917.5</v>
      </c>
      <c r="I739" s="34">
        <f t="shared" si="130"/>
        <v>279917.5</v>
      </c>
      <c r="J739" s="138">
        <f t="shared" si="130"/>
        <v>27485.499999999996</v>
      </c>
      <c r="K739" s="183">
        <f t="shared" si="130"/>
        <v>307403</v>
      </c>
      <c r="L739" s="183">
        <f t="shared" si="130"/>
        <v>0</v>
      </c>
      <c r="M739" s="183">
        <f t="shared" si="130"/>
        <v>0</v>
      </c>
      <c r="N739" s="183">
        <f t="shared" si="130"/>
        <v>317577.7</v>
      </c>
      <c r="O739" s="138">
        <f>O740</f>
        <v>317577.7</v>
      </c>
      <c r="P739" s="404">
        <f aca="true" t="shared" si="131" ref="P739:Q742">P740</f>
        <v>340604.5</v>
      </c>
      <c r="Q739" s="405">
        <f t="shared" si="131"/>
        <v>366762.6</v>
      </c>
    </row>
    <row r="740" spans="1:17" ht="25.5">
      <c r="A740" s="304" t="s">
        <v>515</v>
      </c>
      <c r="B740" s="26" t="s">
        <v>226</v>
      </c>
      <c r="C740" s="27" t="s">
        <v>186</v>
      </c>
      <c r="D740" s="27" t="s">
        <v>135</v>
      </c>
      <c r="E740" s="27" t="s">
        <v>31</v>
      </c>
      <c r="F740" s="51"/>
      <c r="G740" s="71">
        <f t="shared" si="130"/>
        <v>279917.5</v>
      </c>
      <c r="H740" s="52">
        <f t="shared" si="130"/>
        <v>279917.5</v>
      </c>
      <c r="I740" s="52">
        <f t="shared" si="130"/>
        <v>279917.5</v>
      </c>
      <c r="J740" s="71">
        <f t="shared" si="130"/>
        <v>27485.499999999996</v>
      </c>
      <c r="K740" s="173">
        <f t="shared" si="130"/>
        <v>307403</v>
      </c>
      <c r="L740" s="173">
        <f t="shared" si="130"/>
        <v>0</v>
      </c>
      <c r="M740" s="173">
        <f t="shared" si="130"/>
        <v>0</v>
      </c>
      <c r="N740" s="173">
        <f t="shared" si="130"/>
        <v>317577.7</v>
      </c>
      <c r="O740" s="71">
        <f>O741</f>
        <v>317577.7</v>
      </c>
      <c r="P740" s="370">
        <f t="shared" si="131"/>
        <v>340604.5</v>
      </c>
      <c r="Q740" s="371">
        <f t="shared" si="131"/>
        <v>366762.6</v>
      </c>
    </row>
    <row r="741" spans="1:17" ht="51">
      <c r="A741" s="346" t="s">
        <v>522</v>
      </c>
      <c r="B741" s="48" t="s">
        <v>226</v>
      </c>
      <c r="C741" s="49" t="s">
        <v>186</v>
      </c>
      <c r="D741" s="49" t="s">
        <v>135</v>
      </c>
      <c r="E741" s="49" t="s">
        <v>520</v>
      </c>
      <c r="F741" s="77"/>
      <c r="G741" s="64">
        <f aca="true" t="shared" si="132" ref="G741:N741">G743</f>
        <v>279917.5</v>
      </c>
      <c r="H741" s="64">
        <f t="shared" si="132"/>
        <v>279917.5</v>
      </c>
      <c r="I741" s="64">
        <f t="shared" si="132"/>
        <v>279917.5</v>
      </c>
      <c r="J741" s="64">
        <f t="shared" si="132"/>
        <v>27485.499999999996</v>
      </c>
      <c r="K741" s="176">
        <f t="shared" si="132"/>
        <v>307403</v>
      </c>
      <c r="L741" s="176">
        <f t="shared" si="132"/>
        <v>0</v>
      </c>
      <c r="M741" s="176">
        <f t="shared" si="132"/>
        <v>0</v>
      </c>
      <c r="N741" s="176">
        <f t="shared" si="132"/>
        <v>317577.7</v>
      </c>
      <c r="O741" s="64">
        <f>O742</f>
        <v>317577.7</v>
      </c>
      <c r="P741" s="380">
        <f t="shared" si="131"/>
        <v>340604.5</v>
      </c>
      <c r="Q741" s="381">
        <f t="shared" si="131"/>
        <v>366762.6</v>
      </c>
    </row>
    <row r="742" spans="1:17" ht="66" customHeight="1">
      <c r="A742" s="331" t="s">
        <v>523</v>
      </c>
      <c r="B742" s="73" t="s">
        <v>226</v>
      </c>
      <c r="C742" s="81" t="s">
        <v>186</v>
      </c>
      <c r="D742" s="81" t="s">
        <v>135</v>
      </c>
      <c r="E742" s="81" t="s">
        <v>521</v>
      </c>
      <c r="F742" s="77"/>
      <c r="G742" s="64"/>
      <c r="H742" s="64"/>
      <c r="I742" s="64"/>
      <c r="J742" s="64"/>
      <c r="K742" s="176"/>
      <c r="L742" s="176"/>
      <c r="M742" s="176"/>
      <c r="N742" s="176"/>
      <c r="O742" s="64">
        <f>O743</f>
        <v>317577.7</v>
      </c>
      <c r="P742" s="380">
        <f t="shared" si="131"/>
        <v>340604.5</v>
      </c>
      <c r="Q742" s="381">
        <f t="shared" si="131"/>
        <v>366762.6</v>
      </c>
    </row>
    <row r="743" spans="1:17" ht="15.75" customHeight="1" thickBot="1">
      <c r="A743" s="301" t="s">
        <v>90</v>
      </c>
      <c r="B743" s="141" t="s">
        <v>226</v>
      </c>
      <c r="C743" s="67" t="s">
        <v>186</v>
      </c>
      <c r="D743" s="67" t="s">
        <v>135</v>
      </c>
      <c r="E743" s="67" t="s">
        <v>521</v>
      </c>
      <c r="F743" s="55" t="s">
        <v>83</v>
      </c>
      <c r="G743" s="65">
        <f aca="true" t="shared" si="133" ref="G743:N743">G744+G745+G746+G747+G748+G749</f>
        <v>279917.5</v>
      </c>
      <c r="H743" s="65">
        <f t="shared" si="133"/>
        <v>279917.5</v>
      </c>
      <c r="I743" s="65">
        <f t="shared" si="133"/>
        <v>279917.5</v>
      </c>
      <c r="J743" s="65">
        <f t="shared" si="133"/>
        <v>27485.499999999996</v>
      </c>
      <c r="K743" s="164">
        <f t="shared" si="133"/>
        <v>307403</v>
      </c>
      <c r="L743" s="164">
        <f t="shared" si="133"/>
        <v>0</v>
      </c>
      <c r="M743" s="164">
        <f t="shared" si="133"/>
        <v>0</v>
      </c>
      <c r="N743" s="164">
        <f t="shared" si="133"/>
        <v>317577.7</v>
      </c>
      <c r="O743" s="65">
        <f>O744+O745+O746+O747+O748+O749</f>
        <v>317577.7</v>
      </c>
      <c r="P743" s="374">
        <f>P744+P745+P746+P747+P748+P749</f>
        <v>340604.5</v>
      </c>
      <c r="Q743" s="375">
        <f>Q744+Q745+Q746+Q747+Q748+Q749</f>
        <v>366762.6</v>
      </c>
    </row>
    <row r="744" spans="1:17" ht="14.25" customHeight="1" hidden="1">
      <c r="A744" s="299"/>
      <c r="B744" s="48"/>
      <c r="C744" s="53"/>
      <c r="D744" s="53"/>
      <c r="E744" s="53"/>
      <c r="F744" s="55" t="s">
        <v>146</v>
      </c>
      <c r="G744" s="65">
        <v>211935.09984</v>
      </c>
      <c r="H744" s="59">
        <v>211935.1</v>
      </c>
      <c r="I744" s="59">
        <v>211935.1</v>
      </c>
      <c r="J744" s="65">
        <v>20929.26</v>
      </c>
      <c r="K744" s="164">
        <f aca="true" t="shared" si="134" ref="K744:K749">G744+J744</f>
        <v>232864.35984000002</v>
      </c>
      <c r="L744" s="189"/>
      <c r="M744" s="59"/>
      <c r="N744" s="65">
        <v>317577.7</v>
      </c>
      <c r="O744" s="65">
        <v>317577.7</v>
      </c>
      <c r="P744" s="374">
        <v>340604.5</v>
      </c>
      <c r="Q744" s="375">
        <v>366762.6</v>
      </c>
    </row>
    <row r="745" spans="1:17" ht="15.75" customHeight="1" hidden="1">
      <c r="A745" s="302"/>
      <c r="B745" s="26"/>
      <c r="C745" s="56"/>
      <c r="D745" s="56"/>
      <c r="E745" s="56"/>
      <c r="F745" s="58" t="s">
        <v>148</v>
      </c>
      <c r="G745" s="65">
        <v>64004.40016</v>
      </c>
      <c r="H745" s="59">
        <v>64004.4</v>
      </c>
      <c r="I745" s="59">
        <v>64004.4</v>
      </c>
      <c r="J745" s="65">
        <v>6320.637</v>
      </c>
      <c r="K745" s="164">
        <f t="shared" si="134"/>
        <v>70325.03715999999</v>
      </c>
      <c r="L745" s="189"/>
      <c r="M745" s="59"/>
      <c r="N745" s="65"/>
      <c r="O745" s="65"/>
      <c r="P745" s="374"/>
      <c r="Q745" s="375"/>
    </row>
    <row r="746" spans="1:17" ht="15.75" customHeight="1" hidden="1">
      <c r="A746" s="299"/>
      <c r="B746" s="48"/>
      <c r="C746" s="53"/>
      <c r="D746" s="53"/>
      <c r="E746" s="53"/>
      <c r="F746" s="55" t="s">
        <v>164</v>
      </c>
      <c r="G746" s="65"/>
      <c r="H746" s="59"/>
      <c r="I746" s="59"/>
      <c r="J746" s="65"/>
      <c r="K746" s="164">
        <f t="shared" si="134"/>
        <v>0</v>
      </c>
      <c r="L746" s="189"/>
      <c r="M746" s="59"/>
      <c r="N746" s="65"/>
      <c r="O746" s="65"/>
      <c r="P746" s="374"/>
      <c r="Q746" s="375"/>
    </row>
    <row r="747" spans="1:17" ht="15" customHeight="1" hidden="1">
      <c r="A747" s="302"/>
      <c r="B747" s="26"/>
      <c r="C747" s="56"/>
      <c r="D747" s="56"/>
      <c r="E747" s="56"/>
      <c r="F747" s="58" t="s">
        <v>167</v>
      </c>
      <c r="G747" s="65">
        <v>319</v>
      </c>
      <c r="H747" s="59"/>
      <c r="I747" s="59"/>
      <c r="J747" s="65"/>
      <c r="K747" s="164">
        <f t="shared" si="134"/>
        <v>319</v>
      </c>
      <c r="L747" s="189"/>
      <c r="M747" s="59"/>
      <c r="N747" s="65"/>
      <c r="O747" s="65"/>
      <c r="P747" s="374"/>
      <c r="Q747" s="375"/>
    </row>
    <row r="748" spans="1:17" ht="15" customHeight="1" hidden="1">
      <c r="A748" s="293"/>
      <c r="B748" s="48"/>
      <c r="C748" s="53"/>
      <c r="D748" s="53"/>
      <c r="E748" s="53"/>
      <c r="F748" s="55" t="s">
        <v>169</v>
      </c>
      <c r="G748" s="65">
        <v>3375.788</v>
      </c>
      <c r="H748" s="59">
        <v>3978</v>
      </c>
      <c r="I748" s="59">
        <v>3978</v>
      </c>
      <c r="J748" s="65">
        <v>257.103</v>
      </c>
      <c r="K748" s="164">
        <f t="shared" si="134"/>
        <v>3632.891</v>
      </c>
      <c r="L748" s="189"/>
      <c r="M748" s="59"/>
      <c r="N748" s="65"/>
      <c r="O748" s="65"/>
      <c r="P748" s="374"/>
      <c r="Q748" s="375"/>
    </row>
    <row r="749" spans="1:17" ht="16.5" customHeight="1" hidden="1">
      <c r="A749" s="304"/>
      <c r="B749" s="26"/>
      <c r="C749" s="56"/>
      <c r="D749" s="56"/>
      <c r="E749" s="56"/>
      <c r="F749" s="58" t="s">
        <v>170</v>
      </c>
      <c r="G749" s="72">
        <v>283.212</v>
      </c>
      <c r="H749" s="80"/>
      <c r="I749" s="80"/>
      <c r="J749" s="72">
        <v>-21.5</v>
      </c>
      <c r="K749" s="162">
        <f t="shared" si="134"/>
        <v>261.712</v>
      </c>
      <c r="L749" s="189"/>
      <c r="M749" s="59"/>
      <c r="N749" s="65"/>
      <c r="O749" s="65"/>
      <c r="P749" s="374"/>
      <c r="Q749" s="375"/>
    </row>
    <row r="750" spans="1:17" ht="16.5" customHeight="1" hidden="1">
      <c r="A750" s="295" t="s">
        <v>378</v>
      </c>
      <c r="B750" s="43" t="s">
        <v>226</v>
      </c>
      <c r="C750" s="44" t="s">
        <v>186</v>
      </c>
      <c r="D750" s="44" t="s">
        <v>135</v>
      </c>
      <c r="E750" s="44" t="s">
        <v>379</v>
      </c>
      <c r="F750" s="46"/>
      <c r="G750" s="251">
        <f aca="true" t="shared" si="135" ref="G750:Q750">G751</f>
        <v>0</v>
      </c>
      <c r="H750" s="165">
        <f t="shared" si="135"/>
        <v>0</v>
      </c>
      <c r="I750" s="165">
        <f t="shared" si="135"/>
        <v>0</v>
      </c>
      <c r="J750" s="165">
        <f t="shared" si="135"/>
        <v>6331.7</v>
      </c>
      <c r="K750" s="184">
        <f t="shared" si="135"/>
        <v>6331.7</v>
      </c>
      <c r="L750" s="184">
        <f t="shared" si="135"/>
        <v>0</v>
      </c>
      <c r="M750" s="184">
        <f t="shared" si="135"/>
        <v>0</v>
      </c>
      <c r="N750" s="184">
        <f t="shared" si="135"/>
        <v>0</v>
      </c>
      <c r="O750" s="256">
        <f t="shared" si="135"/>
        <v>0</v>
      </c>
      <c r="P750" s="368">
        <f t="shared" si="135"/>
        <v>0</v>
      </c>
      <c r="Q750" s="369">
        <f t="shared" si="135"/>
        <v>0</v>
      </c>
    </row>
    <row r="751" spans="1:17" ht="16.5" customHeight="1" hidden="1" thickBot="1">
      <c r="A751" s="307" t="s">
        <v>90</v>
      </c>
      <c r="B751" s="141" t="s">
        <v>226</v>
      </c>
      <c r="C751" s="67" t="s">
        <v>186</v>
      </c>
      <c r="D751" s="67" t="s">
        <v>135</v>
      </c>
      <c r="E751" s="67" t="s">
        <v>379</v>
      </c>
      <c r="F751" s="69" t="s">
        <v>83</v>
      </c>
      <c r="G751" s="252"/>
      <c r="H751" s="241"/>
      <c r="I751" s="241"/>
      <c r="J751" s="241">
        <v>6331.7</v>
      </c>
      <c r="K751" s="242">
        <v>6331.7</v>
      </c>
      <c r="L751" s="194"/>
      <c r="M751" s="80"/>
      <c r="N751" s="72"/>
      <c r="O751" s="72"/>
      <c r="P751" s="388"/>
      <c r="Q751" s="389"/>
    </row>
    <row r="752" spans="1:17" ht="19.5" customHeight="1" thickBot="1">
      <c r="A752" s="274" t="s">
        <v>330</v>
      </c>
      <c r="B752" s="21" t="s">
        <v>133</v>
      </c>
      <c r="C752" s="22" t="s">
        <v>186</v>
      </c>
      <c r="D752" s="22" t="s">
        <v>135</v>
      </c>
      <c r="E752" s="22" t="s">
        <v>331</v>
      </c>
      <c r="F752" s="24"/>
      <c r="G752" s="132" t="e">
        <f aca="true" t="shared" si="136" ref="G752:M752">G753+G769</f>
        <v>#REF!</v>
      </c>
      <c r="H752" s="132" t="e">
        <f t="shared" si="136"/>
        <v>#REF!</v>
      </c>
      <c r="I752" s="132" t="e">
        <f t="shared" si="136"/>
        <v>#REF!</v>
      </c>
      <c r="J752" s="132" t="e">
        <f t="shared" si="136"/>
        <v>#REF!</v>
      </c>
      <c r="K752" s="175" t="e">
        <f t="shared" si="136"/>
        <v>#REF!</v>
      </c>
      <c r="L752" s="175" t="e">
        <f t="shared" si="136"/>
        <v>#REF!</v>
      </c>
      <c r="M752" s="175" t="e">
        <f t="shared" si="136"/>
        <v>#REF!</v>
      </c>
      <c r="N752" s="175">
        <f>N753+N759+N769</f>
        <v>0</v>
      </c>
      <c r="O752" s="132">
        <f aca="true" t="shared" si="137" ref="O752:Q753">O753</f>
        <v>32046.32</v>
      </c>
      <c r="P752" s="378">
        <f t="shared" si="137"/>
        <v>32046.329999999998</v>
      </c>
      <c r="Q752" s="379">
        <f t="shared" si="137"/>
        <v>32046.329999999998</v>
      </c>
    </row>
    <row r="753" spans="1:17" ht="25.5">
      <c r="A753" s="269" t="s">
        <v>117</v>
      </c>
      <c r="B753" s="43" t="s">
        <v>226</v>
      </c>
      <c r="C753" s="44" t="s">
        <v>186</v>
      </c>
      <c r="D753" s="44" t="s">
        <v>135</v>
      </c>
      <c r="E753" s="44" t="s">
        <v>329</v>
      </c>
      <c r="F753" s="46"/>
      <c r="G753" s="131" t="e">
        <f>#REF!+G754</f>
        <v>#REF!</v>
      </c>
      <c r="H753" s="131" t="e">
        <f>#REF!+H754</f>
        <v>#REF!</v>
      </c>
      <c r="I753" s="131" t="e">
        <f>#REF!+I754</f>
        <v>#REF!</v>
      </c>
      <c r="J753" s="131" t="e">
        <f>#REF!+J754</f>
        <v>#REF!</v>
      </c>
      <c r="K753" s="172" t="e">
        <f>#REF!+K754</f>
        <v>#REF!</v>
      </c>
      <c r="L753" s="172" t="e">
        <f>#REF!+L754</f>
        <v>#REF!</v>
      </c>
      <c r="M753" s="172" t="e">
        <f>#REF!+M754</f>
        <v>#REF!</v>
      </c>
      <c r="N753" s="172">
        <f>N754</f>
        <v>0</v>
      </c>
      <c r="O753" s="131">
        <f t="shared" si="137"/>
        <v>32046.32</v>
      </c>
      <c r="P753" s="368">
        <f t="shared" si="137"/>
        <v>32046.329999999998</v>
      </c>
      <c r="Q753" s="369">
        <f t="shared" si="137"/>
        <v>32046.329999999998</v>
      </c>
    </row>
    <row r="754" spans="1:17" ht="16.5" customHeight="1" thickBot="1">
      <c r="A754" s="301" t="s">
        <v>90</v>
      </c>
      <c r="B754" s="141" t="s">
        <v>226</v>
      </c>
      <c r="C754" s="67" t="s">
        <v>186</v>
      </c>
      <c r="D754" s="67" t="s">
        <v>135</v>
      </c>
      <c r="E754" s="67" t="s">
        <v>329</v>
      </c>
      <c r="F754" s="69" t="s">
        <v>83</v>
      </c>
      <c r="G754" s="65" t="e">
        <f>G755+G757+#REF!+#REF!+#REF!+G765+G766+G767+G768+#REF!+#REF!+G756+G758</f>
        <v>#REF!</v>
      </c>
      <c r="H754" s="65" t="e">
        <f>H755+H757+#REF!+#REF!+#REF!+H765+H766+H767+H768+#REF!+#REF!+H756+H758</f>
        <v>#REF!</v>
      </c>
      <c r="I754" s="65" t="e">
        <f>I755+I757+#REF!+#REF!+#REF!+I765+I766+I767+I768+#REF!+#REF!+I756+I758</f>
        <v>#REF!</v>
      </c>
      <c r="J754" s="65" t="e">
        <f>J755+J757+#REF!+#REF!+#REF!+J765+J766+J767+J768+#REF!+#REF!+J756+J758</f>
        <v>#REF!</v>
      </c>
      <c r="K754" s="164" t="e">
        <f>K755+K757+#REF!+#REF!+#REF!+K765+K766+K767+K768+#REF!+#REF!+K756+K758+#REF!</f>
        <v>#REF!</v>
      </c>
      <c r="L754" s="164" t="e">
        <f>L755+L757+#REF!+#REF!+#REF!+L765+L766+L767+L768+#REF!+#REF!+L756+L758+#REF!</f>
        <v>#REF!</v>
      </c>
      <c r="M754" s="164" t="e">
        <f>M755+M757+#REF!+#REF!+#REF!+M765+M766+M767+M768+#REF!+#REF!+M756+M758+#REF!</f>
        <v>#REF!</v>
      </c>
      <c r="N754" s="164">
        <f>N755+N757</f>
        <v>0</v>
      </c>
      <c r="O754" s="65">
        <f>O755+O757</f>
        <v>32046.32</v>
      </c>
      <c r="P754" s="374">
        <f>P755+P757+0.01</f>
        <v>32046.329999999998</v>
      </c>
      <c r="Q754" s="375">
        <f>Q755+Q757+0.01</f>
        <v>32046.329999999998</v>
      </c>
    </row>
    <row r="755" spans="1:17" ht="13.5" customHeight="1" hidden="1">
      <c r="A755" s="299"/>
      <c r="B755" s="48"/>
      <c r="C755" s="53"/>
      <c r="D755" s="53"/>
      <c r="E755" s="53"/>
      <c r="F755" s="55" t="s">
        <v>146</v>
      </c>
      <c r="G755" s="65">
        <v>2908.01307</v>
      </c>
      <c r="H755" s="59">
        <f>15768*0.91</f>
        <v>14348.880000000001</v>
      </c>
      <c r="I755" s="59">
        <f>15768*0.95</f>
        <v>14979.599999999999</v>
      </c>
      <c r="J755" s="65">
        <v>256.06612</v>
      </c>
      <c r="K755" s="164">
        <v>2853.08244</v>
      </c>
      <c r="L755" s="189"/>
      <c r="M755" s="59">
        <v>801.24687</v>
      </c>
      <c r="N755" s="65"/>
      <c r="O755" s="65">
        <v>24613.12</v>
      </c>
      <c r="P755" s="374">
        <v>24613.12</v>
      </c>
      <c r="Q755" s="375">
        <v>24613.12</v>
      </c>
    </row>
    <row r="756" spans="1:17" ht="13.5" customHeight="1" hidden="1">
      <c r="A756" s="302"/>
      <c r="B756" s="26"/>
      <c r="C756" s="56"/>
      <c r="D756" s="56"/>
      <c r="E756" s="56" t="s">
        <v>365</v>
      </c>
      <c r="F756" s="58" t="s">
        <v>146</v>
      </c>
      <c r="G756" s="72">
        <v>12418.33628</v>
      </c>
      <c r="H756" s="80"/>
      <c r="I756" s="80"/>
      <c r="J756" s="72">
        <v>1255.42043</v>
      </c>
      <c r="K756" s="164">
        <v>13673.75671</v>
      </c>
      <c r="L756" s="189"/>
      <c r="M756" s="59">
        <v>1402.78628</v>
      </c>
      <c r="N756" s="65"/>
      <c r="O756" s="65"/>
      <c r="P756" s="374"/>
      <c r="Q756" s="375"/>
    </row>
    <row r="757" spans="1:17" ht="12.75" hidden="1">
      <c r="A757" s="302"/>
      <c r="B757" s="26"/>
      <c r="C757" s="56"/>
      <c r="D757" s="56"/>
      <c r="E757" s="56"/>
      <c r="F757" s="58" t="s">
        <v>148</v>
      </c>
      <c r="G757" s="72">
        <v>878.21994</v>
      </c>
      <c r="H757" s="80">
        <f>H755*0.302</f>
        <v>4333.36176</v>
      </c>
      <c r="I757" s="80">
        <f>I755*0.302*0.95</f>
        <v>4297.647239999999</v>
      </c>
      <c r="J757" s="72">
        <v>89.14043</v>
      </c>
      <c r="K757" s="164">
        <v>967.36037</v>
      </c>
      <c r="L757" s="189"/>
      <c r="M757" s="59">
        <v>241.976</v>
      </c>
      <c r="N757" s="65"/>
      <c r="O757" s="65">
        <v>7433.2</v>
      </c>
      <c r="P757" s="374">
        <v>7433.2</v>
      </c>
      <c r="Q757" s="375">
        <v>7433.2</v>
      </c>
    </row>
    <row r="758" spans="1:17" ht="12.75" hidden="1">
      <c r="A758" s="302"/>
      <c r="B758" s="26"/>
      <c r="C758" s="56"/>
      <c r="D758" s="56"/>
      <c r="E758" s="56" t="s">
        <v>365</v>
      </c>
      <c r="F758" s="58" t="s">
        <v>148</v>
      </c>
      <c r="G758" s="72">
        <v>3750.33756</v>
      </c>
      <c r="H758" s="80"/>
      <c r="I758" s="80"/>
      <c r="J758" s="72">
        <v>376.62505</v>
      </c>
      <c r="K758" s="162">
        <v>4126.96261</v>
      </c>
      <c r="L758" s="194"/>
      <c r="M758" s="80">
        <v>268.50528</v>
      </c>
      <c r="N758" s="72"/>
      <c r="O758" s="72"/>
      <c r="P758" s="388"/>
      <c r="Q758" s="389"/>
    </row>
    <row r="759" spans="1:17" ht="16.5" customHeight="1">
      <c r="A759" s="269" t="s">
        <v>402</v>
      </c>
      <c r="B759" s="245" t="s">
        <v>226</v>
      </c>
      <c r="C759" s="246" t="s">
        <v>186</v>
      </c>
      <c r="D759" s="246" t="s">
        <v>135</v>
      </c>
      <c r="E759" s="44" t="s">
        <v>219</v>
      </c>
      <c r="F759" s="247"/>
      <c r="G759" s="135"/>
      <c r="H759" s="91"/>
      <c r="I759" s="91"/>
      <c r="J759" s="135"/>
      <c r="K759" s="178"/>
      <c r="L759" s="207"/>
      <c r="M759" s="91"/>
      <c r="N759" s="135"/>
      <c r="O759" s="131">
        <f>O760</f>
        <v>722.3</v>
      </c>
      <c r="P759" s="368">
        <f>P760</f>
        <v>758.3600000000001</v>
      </c>
      <c r="Q759" s="369">
        <f>Q760</f>
        <v>796.02</v>
      </c>
    </row>
    <row r="760" spans="1:17" ht="16.5" customHeight="1">
      <c r="A760" s="272" t="s">
        <v>442</v>
      </c>
      <c r="B760" s="26" t="s">
        <v>226</v>
      </c>
      <c r="C760" s="27" t="s">
        <v>186</v>
      </c>
      <c r="D760" s="27" t="s">
        <v>135</v>
      </c>
      <c r="E760" s="27" t="s">
        <v>346</v>
      </c>
      <c r="F760" s="215"/>
      <c r="G760" s="136"/>
      <c r="H760" s="97"/>
      <c r="I760" s="97"/>
      <c r="J760" s="136"/>
      <c r="K760" s="111"/>
      <c r="L760" s="239"/>
      <c r="M760" s="97"/>
      <c r="N760" s="136"/>
      <c r="O760" s="155">
        <f>O761+O763+O765+O767</f>
        <v>722.3</v>
      </c>
      <c r="P760" s="396">
        <f>P761+P763+P765+P767</f>
        <v>758.3600000000001</v>
      </c>
      <c r="Q760" s="397">
        <f>Q761+Q763+Q765+Q767</f>
        <v>796.02</v>
      </c>
    </row>
    <row r="761" spans="1:17" ht="16.5" customHeight="1">
      <c r="A761" s="270" t="s">
        <v>446</v>
      </c>
      <c r="B761" s="235" t="s">
        <v>226</v>
      </c>
      <c r="C761" s="236" t="s">
        <v>186</v>
      </c>
      <c r="D761" s="236" t="s">
        <v>135</v>
      </c>
      <c r="E761" s="49" t="s">
        <v>447</v>
      </c>
      <c r="F761" s="237"/>
      <c r="G761" s="65"/>
      <c r="H761" s="59"/>
      <c r="I761" s="59"/>
      <c r="J761" s="65"/>
      <c r="K761" s="164"/>
      <c r="L761" s="189"/>
      <c r="M761" s="59"/>
      <c r="N761" s="65"/>
      <c r="O761" s="71">
        <f>O762</f>
        <v>25</v>
      </c>
      <c r="P761" s="370">
        <f>P762</f>
        <v>26.52</v>
      </c>
      <c r="Q761" s="371">
        <f>Q762</f>
        <v>27.88</v>
      </c>
    </row>
    <row r="762" spans="1:17" ht="16.5" customHeight="1">
      <c r="A762" s="302" t="s">
        <v>90</v>
      </c>
      <c r="B762" s="232" t="s">
        <v>226</v>
      </c>
      <c r="C762" s="233" t="s">
        <v>186</v>
      </c>
      <c r="D762" s="233" t="s">
        <v>135</v>
      </c>
      <c r="E762" s="56" t="s">
        <v>447</v>
      </c>
      <c r="F762" s="234" t="s">
        <v>83</v>
      </c>
      <c r="G762" s="136"/>
      <c r="H762" s="97"/>
      <c r="I762" s="97"/>
      <c r="J762" s="136"/>
      <c r="K762" s="111"/>
      <c r="L762" s="239"/>
      <c r="M762" s="97"/>
      <c r="N762" s="136"/>
      <c r="O762" s="136">
        <v>25</v>
      </c>
      <c r="P762" s="398">
        <v>26.52</v>
      </c>
      <c r="Q762" s="399">
        <v>27.88</v>
      </c>
    </row>
    <row r="763" spans="1:17" ht="16.5" customHeight="1">
      <c r="A763" s="293" t="s">
        <v>461</v>
      </c>
      <c r="B763" s="48" t="s">
        <v>226</v>
      </c>
      <c r="C763" s="49" t="s">
        <v>186</v>
      </c>
      <c r="D763" s="49" t="s">
        <v>135</v>
      </c>
      <c r="E763" s="49" t="s">
        <v>462</v>
      </c>
      <c r="F763" s="51"/>
      <c r="G763" s="65"/>
      <c r="H763" s="59"/>
      <c r="I763" s="59"/>
      <c r="J763" s="65"/>
      <c r="K763" s="164"/>
      <c r="L763" s="189"/>
      <c r="M763" s="59"/>
      <c r="N763" s="65"/>
      <c r="O763" s="71">
        <f>O764</f>
        <v>180.1</v>
      </c>
      <c r="P763" s="370">
        <f>P764</f>
        <v>189.29</v>
      </c>
      <c r="Q763" s="371">
        <f>Q764</f>
        <v>198.93</v>
      </c>
    </row>
    <row r="764" spans="1:17" ht="16.5" customHeight="1">
      <c r="A764" s="302" t="s">
        <v>90</v>
      </c>
      <c r="B764" s="232" t="s">
        <v>463</v>
      </c>
      <c r="C764" s="233" t="s">
        <v>347</v>
      </c>
      <c r="D764" s="233" t="s">
        <v>135</v>
      </c>
      <c r="E764" s="56" t="s">
        <v>462</v>
      </c>
      <c r="F764" s="234" t="s">
        <v>83</v>
      </c>
      <c r="G764" s="136"/>
      <c r="H764" s="97"/>
      <c r="I764" s="97"/>
      <c r="J764" s="136"/>
      <c r="K764" s="166"/>
      <c r="L764" s="199"/>
      <c r="M764" s="98"/>
      <c r="N764" s="76"/>
      <c r="O764" s="76">
        <v>180.1</v>
      </c>
      <c r="P764" s="382">
        <v>189.29</v>
      </c>
      <c r="Q764" s="383">
        <v>198.93</v>
      </c>
    </row>
    <row r="765" spans="1:17" ht="16.5" customHeight="1">
      <c r="A765" s="281" t="s">
        <v>450</v>
      </c>
      <c r="B765" s="66" t="s">
        <v>226</v>
      </c>
      <c r="C765" s="92" t="s">
        <v>186</v>
      </c>
      <c r="D765" s="92" t="s">
        <v>135</v>
      </c>
      <c r="E765" s="92" t="s">
        <v>451</v>
      </c>
      <c r="F765" s="94"/>
      <c r="G765" s="65"/>
      <c r="H765" s="59"/>
      <c r="I765" s="59"/>
      <c r="J765" s="65"/>
      <c r="K765" s="164">
        <f>G765+J765</f>
        <v>0</v>
      </c>
      <c r="L765" s="189"/>
      <c r="M765" s="59"/>
      <c r="N765" s="65"/>
      <c r="O765" s="71">
        <f>O766</f>
        <v>297.2</v>
      </c>
      <c r="P765" s="370">
        <f>P766</f>
        <v>312.35</v>
      </c>
      <c r="Q765" s="371">
        <f>Q766</f>
        <v>328.29</v>
      </c>
    </row>
    <row r="766" spans="1:17" ht="16.5" customHeight="1">
      <c r="A766" s="301" t="s">
        <v>90</v>
      </c>
      <c r="B766" s="141" t="s">
        <v>226</v>
      </c>
      <c r="C766" s="67" t="s">
        <v>186</v>
      </c>
      <c r="D766" s="67" t="s">
        <v>135</v>
      </c>
      <c r="E766" s="67" t="s">
        <v>452</v>
      </c>
      <c r="F766" s="69" t="s">
        <v>83</v>
      </c>
      <c r="G766" s="65">
        <v>113.655</v>
      </c>
      <c r="H766" s="59">
        <f>G766*1.052*0.91</f>
        <v>108.8042046</v>
      </c>
      <c r="I766" s="59">
        <f>H766*1.049*0.95</f>
        <v>108.42883009413</v>
      </c>
      <c r="J766" s="65">
        <f>-17.0131+203.371</f>
        <v>186.3579</v>
      </c>
      <c r="K766" s="164">
        <f>96.6419+305+209.371</f>
        <v>611.0129000000001</v>
      </c>
      <c r="L766" s="189">
        <v>1.5</v>
      </c>
      <c r="M766" s="59">
        <v>86.288</v>
      </c>
      <c r="N766" s="65"/>
      <c r="O766" s="65">
        <v>297.2</v>
      </c>
      <c r="P766" s="374">
        <v>312.35</v>
      </c>
      <c r="Q766" s="375">
        <v>328.29</v>
      </c>
    </row>
    <row r="767" spans="1:17" ht="16.5" customHeight="1">
      <c r="A767" s="307" t="s">
        <v>466</v>
      </c>
      <c r="B767" s="66" t="s">
        <v>226</v>
      </c>
      <c r="C767" s="92" t="s">
        <v>186</v>
      </c>
      <c r="D767" s="92" t="s">
        <v>135</v>
      </c>
      <c r="E767" s="92" t="s">
        <v>467</v>
      </c>
      <c r="F767" s="94"/>
      <c r="G767" s="65">
        <v>31</v>
      </c>
      <c r="H767" s="59">
        <f>115*0.91</f>
        <v>104.65</v>
      </c>
      <c r="I767" s="59">
        <f>120*0.95</f>
        <v>114</v>
      </c>
      <c r="J767" s="65">
        <v>367.546</v>
      </c>
      <c r="K767" s="164">
        <f>391.546+7</f>
        <v>398.546</v>
      </c>
      <c r="L767" s="189">
        <v>-7.71</v>
      </c>
      <c r="M767" s="59"/>
      <c r="N767" s="65"/>
      <c r="O767" s="71">
        <f>O768</f>
        <v>220</v>
      </c>
      <c r="P767" s="370">
        <f>P768</f>
        <v>230.2</v>
      </c>
      <c r="Q767" s="371">
        <f>Q768</f>
        <v>240.92</v>
      </c>
    </row>
    <row r="768" spans="1:17" ht="16.5" customHeight="1" thickBot="1">
      <c r="A768" s="301" t="s">
        <v>90</v>
      </c>
      <c r="B768" s="141" t="s">
        <v>226</v>
      </c>
      <c r="C768" s="67" t="s">
        <v>186</v>
      </c>
      <c r="D768" s="67" t="s">
        <v>135</v>
      </c>
      <c r="E768" s="67" t="s">
        <v>468</v>
      </c>
      <c r="F768" s="69" t="s">
        <v>83</v>
      </c>
      <c r="G768" s="65">
        <f>211.164+51.37598</f>
        <v>262.53998</v>
      </c>
      <c r="H768" s="59">
        <f>G768*1.052*0.91</f>
        <v>251.33477365360005</v>
      </c>
      <c r="I768" s="59">
        <f>H768*1.049*0.95</f>
        <v>250.4676686844951</v>
      </c>
      <c r="J768" s="65">
        <v>-24.1895</v>
      </c>
      <c r="K768" s="164">
        <f>196.05572+42.29476</f>
        <v>238.35048</v>
      </c>
      <c r="L768" s="189">
        <v>2.6</v>
      </c>
      <c r="M768" s="59">
        <v>168.564</v>
      </c>
      <c r="N768" s="65"/>
      <c r="O768" s="65">
        <v>220</v>
      </c>
      <c r="P768" s="374">
        <v>230.2</v>
      </c>
      <c r="Q768" s="375">
        <v>240.92</v>
      </c>
    </row>
    <row r="769" spans="1:17" ht="16.5" customHeight="1">
      <c r="A769" s="269" t="s">
        <v>332</v>
      </c>
      <c r="B769" s="43" t="s">
        <v>265</v>
      </c>
      <c r="C769" s="44" t="s">
        <v>186</v>
      </c>
      <c r="D769" s="44" t="s">
        <v>135</v>
      </c>
      <c r="E769" s="44"/>
      <c r="F769" s="46"/>
      <c r="G769" s="131" t="e">
        <f>#REF!</f>
        <v>#REF!</v>
      </c>
      <c r="H769" s="47" t="e">
        <f>#REF!</f>
        <v>#REF!</v>
      </c>
      <c r="I769" s="47" t="e">
        <f>#REF!</f>
        <v>#REF!</v>
      </c>
      <c r="J769" s="131" t="e">
        <f>#REF!</f>
        <v>#REF!</v>
      </c>
      <c r="K769" s="172" t="e">
        <f>#REF!</f>
        <v>#REF!</v>
      </c>
      <c r="L769" s="172" t="e">
        <f>#REF!</f>
        <v>#REF!</v>
      </c>
      <c r="M769" s="172" t="e">
        <f>#REF!</f>
        <v>#REF!</v>
      </c>
      <c r="N769" s="172">
        <f>N770+N782</f>
        <v>0</v>
      </c>
      <c r="O769" s="131">
        <f>O770+O782</f>
        <v>20854.2</v>
      </c>
      <c r="P769" s="368">
        <f>P770+P782</f>
        <v>22678.3</v>
      </c>
      <c r="Q769" s="369">
        <f>Q770+Q782</f>
        <v>25805.47</v>
      </c>
    </row>
    <row r="770" spans="1:17" ht="16.5" customHeight="1">
      <c r="A770" s="270" t="s">
        <v>402</v>
      </c>
      <c r="B770" s="73" t="s">
        <v>265</v>
      </c>
      <c r="C770" s="81" t="s">
        <v>186</v>
      </c>
      <c r="D770" s="81" t="s">
        <v>135</v>
      </c>
      <c r="E770" s="81" t="s">
        <v>219</v>
      </c>
      <c r="F770" s="77"/>
      <c r="G770" s="64"/>
      <c r="H770" s="64"/>
      <c r="I770" s="64"/>
      <c r="J770" s="64"/>
      <c r="K770" s="176"/>
      <c r="L770" s="176"/>
      <c r="M770" s="176"/>
      <c r="N770" s="176">
        <f>N771+N776+N779</f>
        <v>0</v>
      </c>
      <c r="O770" s="64">
        <f>O771+O776+O779</f>
        <v>20830.2</v>
      </c>
      <c r="P770" s="380">
        <f>P771+P776+P779</f>
        <v>22654.3</v>
      </c>
      <c r="Q770" s="381">
        <f>Q771+Q776+Q779</f>
        <v>25781.47</v>
      </c>
    </row>
    <row r="771" spans="1:17" ht="16.5" customHeight="1">
      <c r="A771" s="275" t="s">
        <v>489</v>
      </c>
      <c r="B771" s="73" t="s">
        <v>265</v>
      </c>
      <c r="C771" s="81" t="s">
        <v>186</v>
      </c>
      <c r="D771" s="81" t="s">
        <v>135</v>
      </c>
      <c r="E771" s="81" t="s">
        <v>42</v>
      </c>
      <c r="F771" s="77"/>
      <c r="G771" s="64"/>
      <c r="H771" s="64"/>
      <c r="I771" s="64"/>
      <c r="J771" s="64"/>
      <c r="K771" s="176"/>
      <c r="L771" s="176"/>
      <c r="M771" s="176"/>
      <c r="N771" s="176">
        <f aca="true" t="shared" si="138" ref="N771:Q772">N772</f>
        <v>0</v>
      </c>
      <c r="O771" s="64">
        <f t="shared" si="138"/>
        <v>20610.2</v>
      </c>
      <c r="P771" s="380">
        <f t="shared" si="138"/>
        <v>22331.2</v>
      </c>
      <c r="Q771" s="381">
        <f t="shared" si="138"/>
        <v>25611</v>
      </c>
    </row>
    <row r="772" spans="1:17" ht="25.5" hidden="1">
      <c r="A772" s="275" t="s">
        <v>491</v>
      </c>
      <c r="B772" s="73" t="s">
        <v>265</v>
      </c>
      <c r="C772" s="81" t="s">
        <v>186</v>
      </c>
      <c r="D772" s="81" t="s">
        <v>135</v>
      </c>
      <c r="E772" s="81" t="s">
        <v>492</v>
      </c>
      <c r="F772" s="77"/>
      <c r="G772" s="64"/>
      <c r="H772" s="64"/>
      <c r="I772" s="64"/>
      <c r="J772" s="64"/>
      <c r="K772" s="176"/>
      <c r="L772" s="176"/>
      <c r="M772" s="176"/>
      <c r="N772" s="176">
        <f t="shared" si="138"/>
        <v>0</v>
      </c>
      <c r="O772" s="64">
        <f t="shared" si="138"/>
        <v>20610.2</v>
      </c>
      <c r="P772" s="380">
        <f t="shared" si="138"/>
        <v>22331.2</v>
      </c>
      <c r="Q772" s="381">
        <f t="shared" si="138"/>
        <v>25611</v>
      </c>
    </row>
    <row r="773" spans="1:17" ht="16.5" customHeight="1">
      <c r="A773" s="275" t="s">
        <v>490</v>
      </c>
      <c r="B773" s="73" t="s">
        <v>265</v>
      </c>
      <c r="C773" s="81" t="s">
        <v>186</v>
      </c>
      <c r="D773" s="81" t="s">
        <v>135</v>
      </c>
      <c r="E773" s="81" t="s">
        <v>506</v>
      </c>
      <c r="F773" s="77"/>
      <c r="G773" s="64"/>
      <c r="H773" s="64"/>
      <c r="I773" s="64"/>
      <c r="J773" s="64"/>
      <c r="K773" s="176"/>
      <c r="L773" s="176"/>
      <c r="M773" s="176"/>
      <c r="N773" s="176">
        <f>N774+N775</f>
        <v>0</v>
      </c>
      <c r="O773" s="64">
        <f>O774+O775</f>
        <v>20610.2</v>
      </c>
      <c r="P773" s="380">
        <f>P774+P775</f>
        <v>22331.2</v>
      </c>
      <c r="Q773" s="381">
        <f>Q774+Q775</f>
        <v>25611</v>
      </c>
    </row>
    <row r="774" spans="1:17" ht="16.5" customHeight="1">
      <c r="A774" s="301" t="s">
        <v>90</v>
      </c>
      <c r="B774" s="105" t="s">
        <v>265</v>
      </c>
      <c r="C774" s="74" t="s">
        <v>186</v>
      </c>
      <c r="D774" s="74" t="s">
        <v>135</v>
      </c>
      <c r="E774" s="74" t="s">
        <v>506</v>
      </c>
      <c r="F774" s="75" t="s">
        <v>83</v>
      </c>
      <c r="G774" s="64"/>
      <c r="H774" s="64"/>
      <c r="I774" s="64"/>
      <c r="J774" s="64"/>
      <c r="K774" s="176"/>
      <c r="L774" s="176"/>
      <c r="M774" s="176"/>
      <c r="N774" s="166"/>
      <c r="O774" s="76">
        <v>80</v>
      </c>
      <c r="P774" s="382">
        <v>164</v>
      </c>
      <c r="Q774" s="383">
        <v>172</v>
      </c>
    </row>
    <row r="775" spans="1:17" ht="16.5" customHeight="1">
      <c r="A775" s="301" t="s">
        <v>90</v>
      </c>
      <c r="B775" s="105" t="s">
        <v>265</v>
      </c>
      <c r="C775" s="74" t="s">
        <v>186</v>
      </c>
      <c r="D775" s="74" t="s">
        <v>135</v>
      </c>
      <c r="E775" s="74" t="s">
        <v>506</v>
      </c>
      <c r="F775" s="75" t="s">
        <v>83</v>
      </c>
      <c r="G775" s="64"/>
      <c r="H775" s="64"/>
      <c r="I775" s="64"/>
      <c r="J775" s="64"/>
      <c r="K775" s="176"/>
      <c r="L775" s="176"/>
      <c r="M775" s="176"/>
      <c r="N775" s="176"/>
      <c r="O775" s="76">
        <v>20530.2</v>
      </c>
      <c r="P775" s="382">
        <v>22167.2</v>
      </c>
      <c r="Q775" s="383">
        <v>25439</v>
      </c>
    </row>
    <row r="776" spans="1:17" ht="16.5" customHeight="1">
      <c r="A776" s="270" t="s">
        <v>442</v>
      </c>
      <c r="B776" s="73" t="s">
        <v>265</v>
      </c>
      <c r="C776" s="81" t="s">
        <v>186</v>
      </c>
      <c r="D776" s="81" t="s">
        <v>135</v>
      </c>
      <c r="E776" s="81" t="s">
        <v>346</v>
      </c>
      <c r="F776" s="77"/>
      <c r="G776" s="64"/>
      <c r="H776" s="64"/>
      <c r="I776" s="64"/>
      <c r="J776" s="64"/>
      <c r="K776" s="176"/>
      <c r="L776" s="176"/>
      <c r="M776" s="176"/>
      <c r="N776" s="176">
        <f aca="true" t="shared" si="139" ref="N776:Q777">N777</f>
        <v>0</v>
      </c>
      <c r="O776" s="64">
        <f t="shared" si="139"/>
        <v>100</v>
      </c>
      <c r="P776" s="380">
        <f t="shared" si="139"/>
        <v>105.1</v>
      </c>
      <c r="Q776" s="381">
        <f t="shared" si="139"/>
        <v>110.47</v>
      </c>
    </row>
    <row r="777" spans="1:17" ht="16.5" customHeight="1">
      <c r="A777" s="307" t="s">
        <v>466</v>
      </c>
      <c r="B777" s="66" t="s">
        <v>265</v>
      </c>
      <c r="C777" s="92" t="s">
        <v>186</v>
      </c>
      <c r="D777" s="92" t="s">
        <v>135</v>
      </c>
      <c r="E777" s="92" t="s">
        <v>467</v>
      </c>
      <c r="F777" s="94"/>
      <c r="G777" s="64"/>
      <c r="H777" s="64"/>
      <c r="I777" s="64"/>
      <c r="J777" s="64"/>
      <c r="K777" s="176"/>
      <c r="L777" s="176"/>
      <c r="M777" s="176"/>
      <c r="N777" s="176">
        <f t="shared" si="139"/>
        <v>0</v>
      </c>
      <c r="O777" s="64">
        <f t="shared" si="139"/>
        <v>100</v>
      </c>
      <c r="P777" s="380">
        <f t="shared" si="139"/>
        <v>105.1</v>
      </c>
      <c r="Q777" s="381">
        <f t="shared" si="139"/>
        <v>110.47</v>
      </c>
    </row>
    <row r="778" spans="1:17" ht="16.5" customHeight="1">
      <c r="A778" s="301" t="s">
        <v>90</v>
      </c>
      <c r="B778" s="141" t="s">
        <v>265</v>
      </c>
      <c r="C778" s="67" t="s">
        <v>186</v>
      </c>
      <c r="D778" s="67" t="s">
        <v>135</v>
      </c>
      <c r="E778" s="67" t="s">
        <v>468</v>
      </c>
      <c r="F778" s="69" t="s">
        <v>83</v>
      </c>
      <c r="G778" s="64"/>
      <c r="H778" s="64"/>
      <c r="I778" s="64"/>
      <c r="J778" s="64"/>
      <c r="K778" s="176"/>
      <c r="L778" s="176"/>
      <c r="M778" s="176"/>
      <c r="N778" s="176"/>
      <c r="O778" s="76">
        <v>100</v>
      </c>
      <c r="P778" s="382">
        <v>105.1</v>
      </c>
      <c r="Q778" s="383">
        <v>110.47</v>
      </c>
    </row>
    <row r="779" spans="1:17" ht="15.75" customHeight="1">
      <c r="A779" s="307" t="s">
        <v>469</v>
      </c>
      <c r="B779" s="66" t="s">
        <v>265</v>
      </c>
      <c r="C779" s="92" t="s">
        <v>186</v>
      </c>
      <c r="D779" s="92" t="s">
        <v>135</v>
      </c>
      <c r="E779" s="92" t="s">
        <v>349</v>
      </c>
      <c r="F779" s="94"/>
      <c r="G779" s="64"/>
      <c r="H779" s="64"/>
      <c r="I779" s="64"/>
      <c r="J779" s="64"/>
      <c r="K779" s="176"/>
      <c r="L779" s="176"/>
      <c r="M779" s="176"/>
      <c r="N779" s="176">
        <f aca="true" t="shared" si="140" ref="N779:Q780">N780</f>
        <v>0</v>
      </c>
      <c r="O779" s="64">
        <f t="shared" si="140"/>
        <v>120</v>
      </c>
      <c r="P779" s="380">
        <f t="shared" si="140"/>
        <v>218</v>
      </c>
      <c r="Q779" s="381">
        <f t="shared" si="140"/>
        <v>60</v>
      </c>
    </row>
    <row r="780" spans="1:17" ht="17.25" customHeight="1">
      <c r="A780" s="270" t="s">
        <v>494</v>
      </c>
      <c r="B780" s="48" t="s">
        <v>265</v>
      </c>
      <c r="C780" s="49" t="s">
        <v>186</v>
      </c>
      <c r="D780" s="49" t="s">
        <v>135</v>
      </c>
      <c r="E780" s="49" t="s">
        <v>493</v>
      </c>
      <c r="F780" s="51"/>
      <c r="G780" s="64"/>
      <c r="H780" s="64"/>
      <c r="I780" s="64"/>
      <c r="J780" s="64"/>
      <c r="K780" s="176"/>
      <c r="L780" s="176"/>
      <c r="M780" s="176"/>
      <c r="N780" s="176">
        <f t="shared" si="140"/>
        <v>0</v>
      </c>
      <c r="O780" s="64">
        <f t="shared" si="140"/>
        <v>120</v>
      </c>
      <c r="P780" s="380">
        <f t="shared" si="140"/>
        <v>218</v>
      </c>
      <c r="Q780" s="381">
        <f t="shared" si="140"/>
        <v>60</v>
      </c>
    </row>
    <row r="781" spans="1:17" ht="16.5" customHeight="1" thickBot="1">
      <c r="A781" s="308" t="s">
        <v>90</v>
      </c>
      <c r="B781" s="86" t="s">
        <v>265</v>
      </c>
      <c r="C781" s="87" t="s">
        <v>186</v>
      </c>
      <c r="D781" s="87" t="s">
        <v>135</v>
      </c>
      <c r="E781" s="87" t="s">
        <v>493</v>
      </c>
      <c r="F781" s="88" t="s">
        <v>83</v>
      </c>
      <c r="G781" s="243"/>
      <c r="H781" s="243"/>
      <c r="I781" s="243"/>
      <c r="J781" s="243"/>
      <c r="K781" s="244"/>
      <c r="L781" s="244"/>
      <c r="M781" s="244"/>
      <c r="N781" s="244"/>
      <c r="O781" s="70">
        <v>120</v>
      </c>
      <c r="P781" s="376">
        <v>218</v>
      </c>
      <c r="Q781" s="377">
        <v>60</v>
      </c>
    </row>
    <row r="782" spans="1:17" ht="16.5" customHeight="1">
      <c r="A782" s="272" t="s">
        <v>332</v>
      </c>
      <c r="B782" s="26" t="s">
        <v>265</v>
      </c>
      <c r="C782" s="27" t="s">
        <v>186</v>
      </c>
      <c r="D782" s="27" t="s">
        <v>135</v>
      </c>
      <c r="E782" s="27" t="s">
        <v>331</v>
      </c>
      <c r="F782" s="58"/>
      <c r="G782" s="136">
        <v>5897.8</v>
      </c>
      <c r="H782" s="97">
        <f>13530*0.91</f>
        <v>12312.300000000001</v>
      </c>
      <c r="I782" s="97">
        <f>13530*0.95</f>
        <v>12853.5</v>
      </c>
      <c r="J782" s="136">
        <v>763.4</v>
      </c>
      <c r="K782" s="111">
        <v>6661.2</v>
      </c>
      <c r="L782" s="239"/>
      <c r="M782" s="97"/>
      <c r="N782" s="155">
        <f aca="true" t="shared" si="141" ref="N782:Q783">N783</f>
        <v>0</v>
      </c>
      <c r="O782" s="155">
        <f t="shared" si="141"/>
        <v>24</v>
      </c>
      <c r="P782" s="396">
        <f t="shared" si="141"/>
        <v>24</v>
      </c>
      <c r="Q782" s="397">
        <f t="shared" si="141"/>
        <v>24</v>
      </c>
    </row>
    <row r="783" spans="1:17" ht="25.5">
      <c r="A783" s="270" t="s">
        <v>117</v>
      </c>
      <c r="B783" s="48" t="s">
        <v>265</v>
      </c>
      <c r="C783" s="49" t="s">
        <v>186</v>
      </c>
      <c r="D783" s="49" t="s">
        <v>135</v>
      </c>
      <c r="E783" s="49" t="s">
        <v>329</v>
      </c>
      <c r="F783" s="55"/>
      <c r="G783" s="65">
        <v>7261.4</v>
      </c>
      <c r="H783" s="59"/>
      <c r="I783" s="59"/>
      <c r="J783" s="65">
        <v>1115.6</v>
      </c>
      <c r="K783" s="164">
        <v>8377</v>
      </c>
      <c r="L783" s="189"/>
      <c r="M783" s="59">
        <v>719.5</v>
      </c>
      <c r="N783" s="71">
        <f t="shared" si="141"/>
        <v>0</v>
      </c>
      <c r="O783" s="71">
        <f t="shared" si="141"/>
        <v>24</v>
      </c>
      <c r="P783" s="370">
        <f t="shared" si="141"/>
        <v>24</v>
      </c>
      <c r="Q783" s="371">
        <f t="shared" si="141"/>
        <v>24</v>
      </c>
    </row>
    <row r="784" spans="1:17" ht="16.5" customHeight="1" thickBot="1">
      <c r="A784" s="303" t="s">
        <v>90</v>
      </c>
      <c r="B784" s="139" t="s">
        <v>265</v>
      </c>
      <c r="C784" s="87" t="s">
        <v>186</v>
      </c>
      <c r="D784" s="87" t="s">
        <v>135</v>
      </c>
      <c r="E784" s="87" t="s">
        <v>329</v>
      </c>
      <c r="F784" s="88" t="s">
        <v>83</v>
      </c>
      <c r="G784" s="70" t="e">
        <f>#REF!+#REF!+#REF!+#REF!+#REF!+#REF!+#REF!+#REF!+#REF!+#REF!+#REF!+#REF!+#REF!+#REF!</f>
        <v>#REF!</v>
      </c>
      <c r="H784" s="70" t="e">
        <f>#REF!+#REF!+#REF!+#REF!+#REF!+#REF!+#REF!+#REF!+#REF!+#REF!+#REF!+#REF!+#REF!+#REF!</f>
        <v>#REF!</v>
      </c>
      <c r="I784" s="70" t="e">
        <f>#REF!+#REF!+#REF!+#REF!+#REF!+#REF!+#REF!+#REF!+#REF!+#REF!+#REF!+#REF!+#REF!+#REF!</f>
        <v>#REF!</v>
      </c>
      <c r="J784" s="70" t="e">
        <f>#REF!+#REF!+#REF!+#REF!+#REF!+#REF!+#REF!+#REF!+#REF!+#REF!+#REF!+#REF!+#REF!+#REF!</f>
        <v>#REF!</v>
      </c>
      <c r="K784" s="177" t="e">
        <f>#REF!+#REF!+#REF!+#REF!+#REF!+#REF!+#REF!+#REF!+#REF!+#REF!+#REF!+#REF!+#REF!+#REF!</f>
        <v>#REF!</v>
      </c>
      <c r="L784" s="177" t="e">
        <f>#REF!+#REF!+#REF!+#REF!+#REF!+#REF!+#REF!+#REF!+#REF!+#REF!+#REF!+#REF!+#REF!+#REF!</f>
        <v>#REF!</v>
      </c>
      <c r="M784" s="177" t="e">
        <f>#REF!+#REF!+#REF!+#REF!+#REF!+#REF!+#REF!+#REF!+#REF!+#REF!+#REF!+#REF!+#REF!+#REF!</f>
        <v>#REF!</v>
      </c>
      <c r="N784" s="177"/>
      <c r="O784" s="70">
        <v>24</v>
      </c>
      <c r="P784" s="376">
        <v>24</v>
      </c>
      <c r="Q784" s="377">
        <v>24</v>
      </c>
    </row>
    <row r="785" spans="1:17" ht="18.75" customHeight="1" thickBot="1">
      <c r="A785" s="268" t="s">
        <v>334</v>
      </c>
      <c r="B785" s="16" t="s">
        <v>265</v>
      </c>
      <c r="C785" s="17" t="s">
        <v>186</v>
      </c>
      <c r="D785" s="17" t="s">
        <v>186</v>
      </c>
      <c r="E785" s="17"/>
      <c r="F785" s="19"/>
      <c r="G785" s="130" t="e">
        <f>#REF!+#REF!+#REF!+#REF!</f>
        <v>#REF!</v>
      </c>
      <c r="H785" s="130" t="e">
        <f>#REF!+#REF!+#REF!+#REF!</f>
        <v>#REF!</v>
      </c>
      <c r="I785" s="130" t="e">
        <f>#REF!+#REF!+#REF!+#REF!</f>
        <v>#REF!</v>
      </c>
      <c r="J785" s="130" t="e">
        <f>#REF!+#REF!+#REF!+#REF!</f>
        <v>#REF!</v>
      </c>
      <c r="K785" s="171" t="e">
        <f>#REF!+#REF!+#REF!+#REF!</f>
        <v>#REF!</v>
      </c>
      <c r="L785" s="171" t="e">
        <f>#REF!+#REF!+#REF!+#REF!</f>
        <v>#REF!</v>
      </c>
      <c r="M785" s="171" t="e">
        <f>#REF!+#REF!+#REF!+#REF!</f>
        <v>#REF!</v>
      </c>
      <c r="N785" s="171">
        <f>N805</f>
        <v>0</v>
      </c>
      <c r="O785" s="130">
        <f>O804</f>
        <v>611</v>
      </c>
      <c r="P785" s="366">
        <f>P804</f>
        <v>624</v>
      </c>
      <c r="Q785" s="367">
        <f>Q804</f>
        <v>641</v>
      </c>
    </row>
    <row r="786" spans="1:17" ht="12.75" customHeight="1" hidden="1">
      <c r="A786" s="275"/>
      <c r="B786" s="73" t="s">
        <v>185</v>
      </c>
      <c r="C786" s="81" t="s">
        <v>186</v>
      </c>
      <c r="D786" s="81" t="s">
        <v>186</v>
      </c>
      <c r="E786" s="81" t="s">
        <v>182</v>
      </c>
      <c r="F786" s="77" t="s">
        <v>133</v>
      </c>
      <c r="G786" s="64">
        <f>G787</f>
        <v>0</v>
      </c>
      <c r="H786" s="37">
        <f>H787</f>
        <v>0</v>
      </c>
      <c r="I786" s="37">
        <f>I787</f>
        <v>0</v>
      </c>
      <c r="J786" s="64">
        <f>J787</f>
        <v>0</v>
      </c>
      <c r="K786" s="176">
        <f>K787</f>
        <v>0</v>
      </c>
      <c r="L786" s="187"/>
      <c r="M786" s="52"/>
      <c r="N786" s="71"/>
      <c r="O786" s="71"/>
      <c r="P786" s="370"/>
      <c r="Q786" s="371"/>
    </row>
    <row r="787" spans="1:17" ht="12.75" customHeight="1" hidden="1">
      <c r="A787" s="270"/>
      <c r="B787" s="48" t="s">
        <v>185</v>
      </c>
      <c r="C787" s="49" t="s">
        <v>186</v>
      </c>
      <c r="D787" s="49" t="s">
        <v>186</v>
      </c>
      <c r="E787" s="49" t="s">
        <v>182</v>
      </c>
      <c r="F787" s="51" t="s">
        <v>335</v>
      </c>
      <c r="G787" s="71">
        <f>G788+G792+G799+G800</f>
        <v>0</v>
      </c>
      <c r="H787" s="52">
        <f>H788+H792+H799+H800</f>
        <v>0</v>
      </c>
      <c r="I787" s="52">
        <f>I788+I792+I799+I800</f>
        <v>0</v>
      </c>
      <c r="J787" s="71">
        <f>J788+J792+J799+J800</f>
        <v>0</v>
      </c>
      <c r="K787" s="173">
        <f>K788+K792+K799+K800</f>
        <v>0</v>
      </c>
      <c r="L787" s="187"/>
      <c r="M787" s="52"/>
      <c r="N787" s="71"/>
      <c r="O787" s="71"/>
      <c r="P787" s="370"/>
      <c r="Q787" s="371"/>
    </row>
    <row r="788" spans="1:17" ht="12.75" customHeight="1" hidden="1">
      <c r="A788" s="270"/>
      <c r="B788" s="48" t="s">
        <v>185</v>
      </c>
      <c r="C788" s="49" t="s">
        <v>186</v>
      </c>
      <c r="D788" s="49" t="s">
        <v>186</v>
      </c>
      <c r="E788" s="49" t="s">
        <v>182</v>
      </c>
      <c r="F788" s="51" t="s">
        <v>335</v>
      </c>
      <c r="G788" s="71">
        <f>G789+G790+G791</f>
        <v>0</v>
      </c>
      <c r="H788" s="52">
        <f>H789+H790+H791</f>
        <v>0</v>
      </c>
      <c r="I788" s="52">
        <f>I789+I790+I791</f>
        <v>0</v>
      </c>
      <c r="J788" s="71">
        <f>J789+J790+J791</f>
        <v>0</v>
      </c>
      <c r="K788" s="173">
        <f>K789+K790+K791</f>
        <v>0</v>
      </c>
      <c r="L788" s="187"/>
      <c r="M788" s="52"/>
      <c r="N788" s="71"/>
      <c r="O788" s="71"/>
      <c r="P788" s="370"/>
      <c r="Q788" s="371"/>
    </row>
    <row r="789" spans="1:17" ht="12.75" customHeight="1" hidden="1">
      <c r="A789" s="270"/>
      <c r="B789" s="48" t="s">
        <v>185</v>
      </c>
      <c r="C789" s="49" t="s">
        <v>186</v>
      </c>
      <c r="D789" s="49" t="s">
        <v>186</v>
      </c>
      <c r="E789" s="49" t="s">
        <v>182</v>
      </c>
      <c r="F789" s="51" t="s">
        <v>335</v>
      </c>
      <c r="G789" s="71"/>
      <c r="H789" s="52"/>
      <c r="I789" s="52"/>
      <c r="J789" s="71"/>
      <c r="K789" s="173"/>
      <c r="L789" s="187"/>
      <c r="M789" s="52"/>
      <c r="N789" s="71"/>
      <c r="O789" s="71"/>
      <c r="P789" s="370"/>
      <c r="Q789" s="371"/>
    </row>
    <row r="790" spans="1:17" ht="12.75" hidden="1">
      <c r="A790" s="270" t="s">
        <v>144</v>
      </c>
      <c r="B790" s="48" t="s">
        <v>185</v>
      </c>
      <c r="C790" s="49" t="s">
        <v>186</v>
      </c>
      <c r="D790" s="49" t="s">
        <v>186</v>
      </c>
      <c r="E790" s="49" t="s">
        <v>182</v>
      </c>
      <c r="F790" s="51" t="s">
        <v>335</v>
      </c>
      <c r="G790" s="71"/>
      <c r="H790" s="52"/>
      <c r="I790" s="52"/>
      <c r="J790" s="71"/>
      <c r="K790" s="173"/>
      <c r="L790" s="187"/>
      <c r="M790" s="52"/>
      <c r="N790" s="71"/>
      <c r="O790" s="71"/>
      <c r="P790" s="370"/>
      <c r="Q790" s="371"/>
    </row>
    <row r="791" spans="1:17" ht="12.75" hidden="1">
      <c r="A791" s="270" t="s">
        <v>145</v>
      </c>
      <c r="B791" s="48" t="s">
        <v>185</v>
      </c>
      <c r="C791" s="49" t="s">
        <v>186</v>
      </c>
      <c r="D791" s="49" t="s">
        <v>186</v>
      </c>
      <c r="E791" s="49" t="s">
        <v>182</v>
      </c>
      <c r="F791" s="51" t="s">
        <v>335</v>
      </c>
      <c r="G791" s="71"/>
      <c r="H791" s="52"/>
      <c r="I791" s="52"/>
      <c r="J791" s="71"/>
      <c r="K791" s="173"/>
      <c r="L791" s="187"/>
      <c r="M791" s="52"/>
      <c r="N791" s="71"/>
      <c r="O791" s="71"/>
      <c r="P791" s="370"/>
      <c r="Q791" s="371"/>
    </row>
    <row r="792" spans="1:17" ht="12.75" customHeight="1" hidden="1">
      <c r="A792" s="270" t="s">
        <v>153</v>
      </c>
      <c r="B792" s="48" t="s">
        <v>185</v>
      </c>
      <c r="C792" s="49" t="s">
        <v>186</v>
      </c>
      <c r="D792" s="49" t="s">
        <v>186</v>
      </c>
      <c r="E792" s="49" t="s">
        <v>182</v>
      </c>
      <c r="F792" s="51" t="s">
        <v>335</v>
      </c>
      <c r="G792" s="71">
        <f>G793+G794+G795+G796+G797+G798</f>
        <v>0</v>
      </c>
      <c r="H792" s="52">
        <f>H793+H794+H795+H796+H797+H798</f>
        <v>0</v>
      </c>
      <c r="I792" s="52">
        <f>I793+I794+I795+I796+I797+I798</f>
        <v>0</v>
      </c>
      <c r="J792" s="71">
        <f>J793+J794+J795+J796+J797+J798</f>
        <v>0</v>
      </c>
      <c r="K792" s="173">
        <f>K793+K794+K795+K796+K797+K798</f>
        <v>0</v>
      </c>
      <c r="L792" s="187"/>
      <c r="M792" s="52"/>
      <c r="N792" s="71"/>
      <c r="O792" s="71"/>
      <c r="P792" s="370"/>
      <c r="Q792" s="371"/>
    </row>
    <row r="793" spans="1:17" ht="12.75" hidden="1">
      <c r="A793" s="270" t="s">
        <v>154</v>
      </c>
      <c r="B793" s="48" t="s">
        <v>185</v>
      </c>
      <c r="C793" s="49" t="s">
        <v>186</v>
      </c>
      <c r="D793" s="49" t="s">
        <v>186</v>
      </c>
      <c r="E793" s="49" t="s">
        <v>182</v>
      </c>
      <c r="F793" s="51" t="s">
        <v>335</v>
      </c>
      <c r="G793" s="71"/>
      <c r="H793" s="52"/>
      <c r="I793" s="52"/>
      <c r="J793" s="71"/>
      <c r="K793" s="173"/>
      <c r="L793" s="187"/>
      <c r="M793" s="52"/>
      <c r="N793" s="71"/>
      <c r="O793" s="71"/>
      <c r="P793" s="370"/>
      <c r="Q793" s="371"/>
    </row>
    <row r="794" spans="1:17" ht="12.75" hidden="1">
      <c r="A794" s="270" t="s">
        <v>155</v>
      </c>
      <c r="B794" s="48" t="s">
        <v>185</v>
      </c>
      <c r="C794" s="49" t="s">
        <v>186</v>
      </c>
      <c r="D794" s="49" t="s">
        <v>186</v>
      </c>
      <c r="E794" s="49" t="s">
        <v>182</v>
      </c>
      <c r="F794" s="51" t="s">
        <v>335</v>
      </c>
      <c r="G794" s="71"/>
      <c r="H794" s="52"/>
      <c r="I794" s="52"/>
      <c r="J794" s="71"/>
      <c r="K794" s="173"/>
      <c r="L794" s="187"/>
      <c r="M794" s="52"/>
      <c r="N794" s="71"/>
      <c r="O794" s="71"/>
      <c r="P794" s="370"/>
      <c r="Q794" s="371"/>
    </row>
    <row r="795" spans="1:17" ht="12.75" hidden="1">
      <c r="A795" s="270" t="s">
        <v>173</v>
      </c>
      <c r="B795" s="48" t="s">
        <v>185</v>
      </c>
      <c r="C795" s="49" t="s">
        <v>186</v>
      </c>
      <c r="D795" s="49" t="s">
        <v>186</v>
      </c>
      <c r="E795" s="49" t="s">
        <v>182</v>
      </c>
      <c r="F795" s="51" t="s">
        <v>335</v>
      </c>
      <c r="G795" s="71"/>
      <c r="H795" s="52"/>
      <c r="I795" s="52"/>
      <c r="J795" s="71"/>
      <c r="K795" s="173"/>
      <c r="L795" s="187"/>
      <c r="M795" s="52"/>
      <c r="N795" s="71"/>
      <c r="O795" s="71"/>
      <c r="P795" s="370"/>
      <c r="Q795" s="371"/>
    </row>
    <row r="796" spans="1:17" ht="12.75" hidden="1">
      <c r="A796" s="270" t="s">
        <v>174</v>
      </c>
      <c r="B796" s="48" t="s">
        <v>185</v>
      </c>
      <c r="C796" s="49" t="s">
        <v>186</v>
      </c>
      <c r="D796" s="49" t="s">
        <v>186</v>
      </c>
      <c r="E796" s="49" t="s">
        <v>182</v>
      </c>
      <c r="F796" s="51" t="s">
        <v>335</v>
      </c>
      <c r="G796" s="71"/>
      <c r="H796" s="52"/>
      <c r="I796" s="52"/>
      <c r="J796" s="71"/>
      <c r="K796" s="173"/>
      <c r="L796" s="187"/>
      <c r="M796" s="52"/>
      <c r="N796" s="71"/>
      <c r="O796" s="71"/>
      <c r="P796" s="370"/>
      <c r="Q796" s="371"/>
    </row>
    <row r="797" spans="1:17" ht="12.75" hidden="1">
      <c r="A797" s="270" t="s">
        <v>156</v>
      </c>
      <c r="B797" s="48" t="s">
        <v>185</v>
      </c>
      <c r="C797" s="49" t="s">
        <v>186</v>
      </c>
      <c r="D797" s="49" t="s">
        <v>186</v>
      </c>
      <c r="E797" s="49" t="s">
        <v>182</v>
      </c>
      <c r="F797" s="51" t="s">
        <v>335</v>
      </c>
      <c r="G797" s="71"/>
      <c r="H797" s="52"/>
      <c r="I797" s="52"/>
      <c r="J797" s="71"/>
      <c r="K797" s="173"/>
      <c r="L797" s="187"/>
      <c r="M797" s="52"/>
      <c r="N797" s="71"/>
      <c r="O797" s="71"/>
      <c r="P797" s="370"/>
      <c r="Q797" s="371"/>
    </row>
    <row r="798" spans="1:17" ht="12.75" hidden="1">
      <c r="A798" s="270" t="s">
        <v>157</v>
      </c>
      <c r="B798" s="48" t="s">
        <v>185</v>
      </c>
      <c r="C798" s="49" t="s">
        <v>186</v>
      </c>
      <c r="D798" s="49" t="s">
        <v>186</v>
      </c>
      <c r="E798" s="49" t="s">
        <v>182</v>
      </c>
      <c r="F798" s="51" t="s">
        <v>335</v>
      </c>
      <c r="G798" s="71"/>
      <c r="H798" s="52"/>
      <c r="I798" s="52"/>
      <c r="J798" s="71"/>
      <c r="K798" s="173"/>
      <c r="L798" s="187"/>
      <c r="M798" s="52"/>
      <c r="N798" s="71"/>
      <c r="O798" s="71"/>
      <c r="P798" s="370"/>
      <c r="Q798" s="371"/>
    </row>
    <row r="799" spans="1:17" ht="12.75" hidden="1">
      <c r="A799" s="270" t="s">
        <v>309</v>
      </c>
      <c r="B799" s="48" t="s">
        <v>185</v>
      </c>
      <c r="C799" s="49" t="s">
        <v>186</v>
      </c>
      <c r="D799" s="49" t="s">
        <v>186</v>
      </c>
      <c r="E799" s="49" t="s">
        <v>182</v>
      </c>
      <c r="F799" s="51" t="s">
        <v>335</v>
      </c>
      <c r="G799" s="71"/>
      <c r="H799" s="52"/>
      <c r="I799" s="52"/>
      <c r="J799" s="71"/>
      <c r="K799" s="173"/>
      <c r="L799" s="187"/>
      <c r="M799" s="52"/>
      <c r="N799" s="71"/>
      <c r="O799" s="71"/>
      <c r="P799" s="370"/>
      <c r="Q799" s="371"/>
    </row>
    <row r="800" spans="1:17" ht="14.25" customHeight="1" hidden="1">
      <c r="A800" s="270" t="s">
        <v>159</v>
      </c>
      <c r="B800" s="48" t="s">
        <v>185</v>
      </c>
      <c r="C800" s="49" t="s">
        <v>186</v>
      </c>
      <c r="D800" s="49" t="s">
        <v>186</v>
      </c>
      <c r="E800" s="49" t="s">
        <v>182</v>
      </c>
      <c r="F800" s="51" t="s">
        <v>335</v>
      </c>
      <c r="G800" s="71">
        <f>G801+G802</f>
        <v>0</v>
      </c>
      <c r="H800" s="52">
        <f>H801+H802</f>
        <v>0</v>
      </c>
      <c r="I800" s="52">
        <f>I801+I802</f>
        <v>0</v>
      </c>
      <c r="J800" s="71">
        <f>J801+J802</f>
        <v>0</v>
      </c>
      <c r="K800" s="173">
        <f>K801+K802</f>
        <v>0</v>
      </c>
      <c r="L800" s="187"/>
      <c r="M800" s="52"/>
      <c r="N800" s="71"/>
      <c r="O800" s="71"/>
      <c r="P800" s="370"/>
      <c r="Q800" s="371"/>
    </row>
    <row r="801" spans="1:17" ht="12.75" customHeight="1" hidden="1">
      <c r="A801" s="270" t="s">
        <v>160</v>
      </c>
      <c r="B801" s="48" t="s">
        <v>185</v>
      </c>
      <c r="C801" s="49" t="s">
        <v>186</v>
      </c>
      <c r="D801" s="49" t="s">
        <v>186</v>
      </c>
      <c r="E801" s="49" t="s">
        <v>182</v>
      </c>
      <c r="F801" s="51" t="s">
        <v>335</v>
      </c>
      <c r="G801" s="71"/>
      <c r="H801" s="52"/>
      <c r="I801" s="52"/>
      <c r="J801" s="71"/>
      <c r="K801" s="173"/>
      <c r="L801" s="187"/>
      <c r="M801" s="52"/>
      <c r="N801" s="71"/>
      <c r="O801" s="71"/>
      <c r="P801" s="370"/>
      <c r="Q801" s="371"/>
    </row>
    <row r="802" spans="1:17" ht="12.75" hidden="1">
      <c r="A802" s="270" t="s">
        <v>161</v>
      </c>
      <c r="B802" s="48" t="s">
        <v>185</v>
      </c>
      <c r="C802" s="49" t="s">
        <v>186</v>
      </c>
      <c r="D802" s="49" t="s">
        <v>186</v>
      </c>
      <c r="E802" s="49" t="s">
        <v>182</v>
      </c>
      <c r="F802" s="51" t="s">
        <v>335</v>
      </c>
      <c r="G802" s="71"/>
      <c r="H802" s="52"/>
      <c r="I802" s="52"/>
      <c r="J802" s="71"/>
      <c r="K802" s="173"/>
      <c r="L802" s="187"/>
      <c r="M802" s="52"/>
      <c r="N802" s="71"/>
      <c r="O802" s="71"/>
      <c r="P802" s="370"/>
      <c r="Q802" s="371"/>
    </row>
    <row r="803" spans="1:17" ht="12.75" hidden="1">
      <c r="A803" s="270" t="s">
        <v>336</v>
      </c>
      <c r="B803" s="48" t="s">
        <v>265</v>
      </c>
      <c r="C803" s="49" t="s">
        <v>186</v>
      </c>
      <c r="D803" s="49" t="s">
        <v>186</v>
      </c>
      <c r="E803" s="49" t="s">
        <v>337</v>
      </c>
      <c r="F803" s="51" t="s">
        <v>194</v>
      </c>
      <c r="G803" s="71" t="e">
        <f>#REF!</f>
        <v>#REF!</v>
      </c>
      <c r="H803" s="52" t="e">
        <f>#REF!</f>
        <v>#REF!</v>
      </c>
      <c r="I803" s="52" t="e">
        <f>#REF!</f>
        <v>#REF!</v>
      </c>
      <c r="J803" s="71" t="e">
        <f>#REF!</f>
        <v>#REF!</v>
      </c>
      <c r="K803" s="173" t="e">
        <f>#REF!</f>
        <v>#REF!</v>
      </c>
      <c r="L803" s="187"/>
      <c r="M803" s="52"/>
      <c r="N803" s="71"/>
      <c r="O803" s="71"/>
      <c r="P803" s="370"/>
      <c r="Q803" s="371"/>
    </row>
    <row r="804" spans="1:17" ht="16.5" customHeight="1">
      <c r="A804" s="269" t="s">
        <v>402</v>
      </c>
      <c r="B804" s="48" t="s">
        <v>265</v>
      </c>
      <c r="C804" s="49" t="s">
        <v>186</v>
      </c>
      <c r="D804" s="49" t="s">
        <v>186</v>
      </c>
      <c r="E804" s="49" t="s">
        <v>219</v>
      </c>
      <c r="F804" s="51"/>
      <c r="G804" s="173"/>
      <c r="H804" s="173"/>
      <c r="I804" s="173"/>
      <c r="J804" s="173"/>
      <c r="K804" s="173"/>
      <c r="L804" s="173"/>
      <c r="M804" s="173"/>
      <c r="N804" s="173"/>
      <c r="O804" s="71">
        <f>O805</f>
        <v>611</v>
      </c>
      <c r="P804" s="370">
        <f>P805</f>
        <v>624</v>
      </c>
      <c r="Q804" s="371">
        <f>Q805</f>
        <v>641</v>
      </c>
    </row>
    <row r="805" spans="1:17" ht="16.5" customHeight="1">
      <c r="A805" s="270" t="s">
        <v>495</v>
      </c>
      <c r="B805" s="48" t="s">
        <v>265</v>
      </c>
      <c r="C805" s="49" t="s">
        <v>186</v>
      </c>
      <c r="D805" s="49" t="s">
        <v>186</v>
      </c>
      <c r="E805" s="49" t="s">
        <v>475</v>
      </c>
      <c r="F805" s="51"/>
      <c r="G805" s="173"/>
      <c r="H805" s="173"/>
      <c r="I805" s="173"/>
      <c r="J805" s="173"/>
      <c r="K805" s="173"/>
      <c r="L805" s="173"/>
      <c r="M805" s="173"/>
      <c r="N805" s="173"/>
      <c r="O805" s="71">
        <f>O806+O808+O810+O812</f>
        <v>611</v>
      </c>
      <c r="P805" s="370">
        <f>P806+P808+P810+P812</f>
        <v>624</v>
      </c>
      <c r="Q805" s="371">
        <f>Q806+Q808+Q810+Q812</f>
        <v>641</v>
      </c>
    </row>
    <row r="806" spans="1:17" ht="25.5">
      <c r="A806" s="270" t="s">
        <v>496</v>
      </c>
      <c r="B806" s="48" t="s">
        <v>265</v>
      </c>
      <c r="C806" s="49" t="s">
        <v>186</v>
      </c>
      <c r="D806" s="49" t="s">
        <v>186</v>
      </c>
      <c r="E806" s="49" t="s">
        <v>497</v>
      </c>
      <c r="F806" s="51"/>
      <c r="G806" s="173"/>
      <c r="H806" s="173"/>
      <c r="I806" s="173"/>
      <c r="J806" s="173"/>
      <c r="K806" s="173"/>
      <c r="L806" s="173"/>
      <c r="M806" s="173"/>
      <c r="N806" s="173"/>
      <c r="O806" s="71">
        <f>O807</f>
        <v>250</v>
      </c>
      <c r="P806" s="370">
        <f>P807</f>
        <v>260</v>
      </c>
      <c r="Q806" s="371">
        <f>Q807</f>
        <v>280</v>
      </c>
    </row>
    <row r="807" spans="1:17" ht="16.5" customHeight="1">
      <c r="A807" s="301" t="s">
        <v>90</v>
      </c>
      <c r="B807" s="141" t="s">
        <v>265</v>
      </c>
      <c r="C807" s="67" t="s">
        <v>186</v>
      </c>
      <c r="D807" s="67" t="s">
        <v>186</v>
      </c>
      <c r="E807" s="67" t="s">
        <v>497</v>
      </c>
      <c r="F807" s="69" t="s">
        <v>83</v>
      </c>
      <c r="G807" s="161"/>
      <c r="H807" s="161"/>
      <c r="I807" s="161"/>
      <c r="J807" s="161"/>
      <c r="K807" s="161"/>
      <c r="L807" s="161"/>
      <c r="M807" s="161"/>
      <c r="N807" s="161"/>
      <c r="O807" s="72">
        <v>250</v>
      </c>
      <c r="P807" s="388">
        <v>260</v>
      </c>
      <c r="Q807" s="389">
        <v>280</v>
      </c>
    </row>
    <row r="808" spans="1:17" ht="16.5" customHeight="1">
      <c r="A808" s="293" t="s">
        <v>498</v>
      </c>
      <c r="B808" s="48" t="s">
        <v>265</v>
      </c>
      <c r="C808" s="49" t="s">
        <v>186</v>
      </c>
      <c r="D808" s="49" t="s">
        <v>186</v>
      </c>
      <c r="E808" s="49" t="s">
        <v>499</v>
      </c>
      <c r="F808" s="51"/>
      <c r="G808" s="173"/>
      <c r="H808" s="173"/>
      <c r="I808" s="173"/>
      <c r="J808" s="173"/>
      <c r="K808" s="173"/>
      <c r="L808" s="173"/>
      <c r="M808" s="173"/>
      <c r="N808" s="173"/>
      <c r="O808" s="71">
        <f>O809</f>
        <v>225</v>
      </c>
      <c r="P808" s="370">
        <f>P809</f>
        <v>225</v>
      </c>
      <c r="Q808" s="371">
        <f>Q809</f>
        <v>225</v>
      </c>
    </row>
    <row r="809" spans="1:17" ht="16.5" customHeight="1">
      <c r="A809" s="301" t="s">
        <v>90</v>
      </c>
      <c r="B809" s="141" t="s">
        <v>265</v>
      </c>
      <c r="C809" s="67" t="s">
        <v>186</v>
      </c>
      <c r="D809" s="67" t="s">
        <v>186</v>
      </c>
      <c r="E809" s="67" t="s">
        <v>499</v>
      </c>
      <c r="F809" s="69" t="s">
        <v>83</v>
      </c>
      <c r="G809" s="161"/>
      <c r="H809" s="161"/>
      <c r="I809" s="161"/>
      <c r="J809" s="161"/>
      <c r="K809" s="161"/>
      <c r="L809" s="161"/>
      <c r="M809" s="161"/>
      <c r="N809" s="161"/>
      <c r="O809" s="72">
        <v>225</v>
      </c>
      <c r="P809" s="388">
        <v>225</v>
      </c>
      <c r="Q809" s="389">
        <v>225</v>
      </c>
    </row>
    <row r="810" spans="1:17" ht="16.5" customHeight="1">
      <c r="A810" s="293" t="s">
        <v>500</v>
      </c>
      <c r="B810" s="48" t="s">
        <v>265</v>
      </c>
      <c r="C810" s="49" t="s">
        <v>186</v>
      </c>
      <c r="D810" s="49" t="s">
        <v>186</v>
      </c>
      <c r="E810" s="49" t="s">
        <v>501</v>
      </c>
      <c r="F810" s="51"/>
      <c r="G810" s="173"/>
      <c r="H810" s="173"/>
      <c r="I810" s="173"/>
      <c r="J810" s="173"/>
      <c r="K810" s="173"/>
      <c r="L810" s="173"/>
      <c r="M810" s="173"/>
      <c r="N810" s="173"/>
      <c r="O810" s="71">
        <f>O811</f>
        <v>36</v>
      </c>
      <c r="P810" s="370">
        <f>P811</f>
        <v>39</v>
      </c>
      <c r="Q810" s="371">
        <f>Q811</f>
        <v>36</v>
      </c>
    </row>
    <row r="811" spans="1:17" ht="16.5" customHeight="1">
      <c r="A811" s="299" t="s">
        <v>90</v>
      </c>
      <c r="B811" s="99" t="s">
        <v>265</v>
      </c>
      <c r="C811" s="53" t="s">
        <v>186</v>
      </c>
      <c r="D811" s="53" t="s">
        <v>186</v>
      </c>
      <c r="E811" s="53" t="s">
        <v>501</v>
      </c>
      <c r="F811" s="55" t="s">
        <v>83</v>
      </c>
      <c r="G811" s="173"/>
      <c r="H811" s="173"/>
      <c r="I811" s="173"/>
      <c r="J811" s="173"/>
      <c r="K811" s="173"/>
      <c r="L811" s="173"/>
      <c r="M811" s="173"/>
      <c r="N811" s="173"/>
      <c r="O811" s="65">
        <v>36</v>
      </c>
      <c r="P811" s="374">
        <v>39</v>
      </c>
      <c r="Q811" s="375">
        <v>36</v>
      </c>
    </row>
    <row r="812" spans="1:17" ht="16.5" customHeight="1">
      <c r="A812" s="304" t="s">
        <v>502</v>
      </c>
      <c r="B812" s="73" t="s">
        <v>265</v>
      </c>
      <c r="C812" s="81" t="s">
        <v>186</v>
      </c>
      <c r="D812" s="81" t="s">
        <v>186</v>
      </c>
      <c r="E812" s="81" t="s">
        <v>503</v>
      </c>
      <c r="F812" s="77"/>
      <c r="G812" s="176"/>
      <c r="H812" s="176"/>
      <c r="I812" s="176"/>
      <c r="J812" s="176"/>
      <c r="K812" s="176"/>
      <c r="L812" s="176"/>
      <c r="M812" s="176"/>
      <c r="N812" s="176"/>
      <c r="O812" s="64">
        <f>O813</f>
        <v>100</v>
      </c>
      <c r="P812" s="380">
        <f>P813</f>
        <v>100</v>
      </c>
      <c r="Q812" s="381">
        <f>Q813</f>
        <v>100</v>
      </c>
    </row>
    <row r="813" spans="1:17" ht="16.5" customHeight="1" thickBot="1">
      <c r="A813" s="317" t="s">
        <v>93</v>
      </c>
      <c r="B813" s="139" t="s">
        <v>265</v>
      </c>
      <c r="C813" s="87" t="s">
        <v>186</v>
      </c>
      <c r="D813" s="87" t="s">
        <v>186</v>
      </c>
      <c r="E813" s="87" t="s">
        <v>503</v>
      </c>
      <c r="F813" s="88" t="s">
        <v>169</v>
      </c>
      <c r="G813" s="244"/>
      <c r="H813" s="244"/>
      <c r="I813" s="244"/>
      <c r="J813" s="244"/>
      <c r="K813" s="244"/>
      <c r="L813" s="244"/>
      <c r="M813" s="244"/>
      <c r="N813" s="244"/>
      <c r="O813" s="70">
        <v>100</v>
      </c>
      <c r="P813" s="376">
        <v>100</v>
      </c>
      <c r="Q813" s="377">
        <v>100</v>
      </c>
    </row>
    <row r="814" spans="1:17" ht="0.75" customHeight="1" hidden="1" thickBot="1">
      <c r="A814" s="309"/>
      <c r="B814" s="26"/>
      <c r="C814" s="56"/>
      <c r="D814" s="56"/>
      <c r="E814" s="56"/>
      <c r="F814" s="58"/>
      <c r="G814" s="249"/>
      <c r="H814" s="220"/>
      <c r="I814" s="220"/>
      <c r="J814" s="220"/>
      <c r="K814" s="222"/>
      <c r="L814" s="199"/>
      <c r="M814" s="98"/>
      <c r="N814" s="76"/>
      <c r="O814" s="76"/>
      <c r="P814" s="382"/>
      <c r="Q814" s="383"/>
    </row>
    <row r="815" spans="1:17" ht="18" customHeight="1" thickBot="1">
      <c r="A815" s="268" t="s">
        <v>340</v>
      </c>
      <c r="B815" s="16" t="s">
        <v>226</v>
      </c>
      <c r="C815" s="17" t="s">
        <v>186</v>
      </c>
      <c r="D815" s="17" t="s">
        <v>341</v>
      </c>
      <c r="E815" s="17"/>
      <c r="F815" s="19"/>
      <c r="G815" s="130" t="e">
        <f aca="true" t="shared" si="142" ref="G815:N815">G816+G841+G863+G854+G859+G828</f>
        <v>#REF!</v>
      </c>
      <c r="H815" s="130" t="e">
        <f t="shared" si="142"/>
        <v>#REF!</v>
      </c>
      <c r="I815" s="130" t="e">
        <f t="shared" si="142"/>
        <v>#REF!</v>
      </c>
      <c r="J815" s="130" t="e">
        <f t="shared" si="142"/>
        <v>#REF!</v>
      </c>
      <c r="K815" s="171" t="e">
        <f t="shared" si="142"/>
        <v>#REF!</v>
      </c>
      <c r="L815" s="171" t="e">
        <f t="shared" si="142"/>
        <v>#REF!</v>
      </c>
      <c r="M815" s="171" t="e">
        <f t="shared" si="142"/>
        <v>#REF!</v>
      </c>
      <c r="N815" s="171">
        <f t="shared" si="142"/>
        <v>0</v>
      </c>
      <c r="O815" s="130">
        <f>O816+O841+O863+O854+O859+O828</f>
        <v>23844.53</v>
      </c>
      <c r="P815" s="366">
        <f>P816+P841+P863+P854+P859+P828</f>
        <v>26289.739999999998</v>
      </c>
      <c r="Q815" s="367">
        <f>Q816+Q841+Q863+Q854+Q859+Q828</f>
        <v>26644.079999999998</v>
      </c>
    </row>
    <row r="816" spans="1:17" ht="38.25">
      <c r="A816" s="269" t="s">
        <v>172</v>
      </c>
      <c r="B816" s="43" t="s">
        <v>226</v>
      </c>
      <c r="C816" s="44" t="s">
        <v>186</v>
      </c>
      <c r="D816" s="44" t="s">
        <v>341</v>
      </c>
      <c r="E816" s="44" t="s">
        <v>136</v>
      </c>
      <c r="F816" s="46"/>
      <c r="G816" s="131" t="e">
        <f aca="true" t="shared" si="143" ref="G816:Q816">G817</f>
        <v>#REF!</v>
      </c>
      <c r="H816" s="47" t="e">
        <f t="shared" si="143"/>
        <v>#REF!</v>
      </c>
      <c r="I816" s="47" t="e">
        <f t="shared" si="143"/>
        <v>#REF!</v>
      </c>
      <c r="J816" s="131" t="e">
        <f t="shared" si="143"/>
        <v>#REF!</v>
      </c>
      <c r="K816" s="172" t="e">
        <f t="shared" si="143"/>
        <v>#REF!</v>
      </c>
      <c r="L816" s="172" t="e">
        <f t="shared" si="143"/>
        <v>#REF!</v>
      </c>
      <c r="M816" s="172" t="e">
        <f t="shared" si="143"/>
        <v>#REF!</v>
      </c>
      <c r="N816" s="172">
        <f t="shared" si="143"/>
        <v>0</v>
      </c>
      <c r="O816" s="131">
        <f t="shared" si="143"/>
        <v>3769.04</v>
      </c>
      <c r="P816" s="368">
        <f t="shared" si="143"/>
        <v>3769.04</v>
      </c>
      <c r="Q816" s="369">
        <f t="shared" si="143"/>
        <v>3769.04</v>
      </c>
    </row>
    <row r="817" spans="1:17" ht="16.5" customHeight="1">
      <c r="A817" s="275" t="s">
        <v>151</v>
      </c>
      <c r="B817" s="73" t="s">
        <v>226</v>
      </c>
      <c r="C817" s="81" t="s">
        <v>186</v>
      </c>
      <c r="D817" s="81" t="s">
        <v>341</v>
      </c>
      <c r="E817" s="81" t="s">
        <v>152</v>
      </c>
      <c r="F817" s="77"/>
      <c r="G817" s="64" t="e">
        <f aca="true" t="shared" si="144" ref="G817:O817">G818+G822+G826</f>
        <v>#REF!</v>
      </c>
      <c r="H817" s="64" t="e">
        <f t="shared" si="144"/>
        <v>#REF!</v>
      </c>
      <c r="I817" s="64" t="e">
        <f t="shared" si="144"/>
        <v>#REF!</v>
      </c>
      <c r="J817" s="64" t="e">
        <f t="shared" si="144"/>
        <v>#REF!</v>
      </c>
      <c r="K817" s="176" t="e">
        <f t="shared" si="144"/>
        <v>#REF!</v>
      </c>
      <c r="L817" s="176" t="e">
        <f t="shared" si="144"/>
        <v>#REF!</v>
      </c>
      <c r="M817" s="176" t="e">
        <f t="shared" si="144"/>
        <v>#REF!</v>
      </c>
      <c r="N817" s="176">
        <f t="shared" si="144"/>
        <v>0</v>
      </c>
      <c r="O817" s="64">
        <f t="shared" si="144"/>
        <v>3769.04</v>
      </c>
      <c r="P817" s="380">
        <f>P818+P822+P826</f>
        <v>3769.04</v>
      </c>
      <c r="Q817" s="381">
        <f>Q818+Q822+Q826</f>
        <v>3769.04</v>
      </c>
    </row>
    <row r="818" spans="1:17" ht="16.5" customHeight="1">
      <c r="A818" s="271" t="s">
        <v>79</v>
      </c>
      <c r="B818" s="99" t="s">
        <v>226</v>
      </c>
      <c r="C818" s="53" t="s">
        <v>186</v>
      </c>
      <c r="D818" s="53" t="s">
        <v>341</v>
      </c>
      <c r="E818" s="53" t="s">
        <v>152</v>
      </c>
      <c r="F818" s="58" t="s">
        <v>76</v>
      </c>
      <c r="G818" s="65">
        <f aca="true" t="shared" si="145" ref="G818:N818">G819+G820+G821</f>
        <v>3394.56</v>
      </c>
      <c r="H818" s="59">
        <f t="shared" si="145"/>
        <v>3217.76</v>
      </c>
      <c r="I818" s="59">
        <f t="shared" si="145"/>
        <v>3359.2</v>
      </c>
      <c r="J818" s="65">
        <f t="shared" si="145"/>
        <v>753.42881</v>
      </c>
      <c r="K818" s="164">
        <f t="shared" si="145"/>
        <v>4147.98881</v>
      </c>
      <c r="L818" s="164">
        <f t="shared" si="145"/>
        <v>-0.2</v>
      </c>
      <c r="M818" s="164">
        <f t="shared" si="145"/>
        <v>38.005</v>
      </c>
      <c r="N818" s="164">
        <f t="shared" si="145"/>
        <v>0</v>
      </c>
      <c r="O818" s="65">
        <f>O819+O820+O821</f>
        <v>3504.5699999999997</v>
      </c>
      <c r="P818" s="374">
        <f>P819+P820+P821</f>
        <v>3504.5699999999997</v>
      </c>
      <c r="Q818" s="375">
        <f>Q819+Q820+Q821</f>
        <v>3504.5699999999997</v>
      </c>
    </row>
    <row r="819" spans="1:17" ht="12.75" hidden="1">
      <c r="A819" s="272"/>
      <c r="B819" s="143"/>
      <c r="C819" s="56"/>
      <c r="D819" s="56"/>
      <c r="E819" s="56"/>
      <c r="F819" s="58" t="s">
        <v>146</v>
      </c>
      <c r="G819" s="65">
        <v>2635.39407</v>
      </c>
      <c r="H819" s="59">
        <f>2713*0.91</f>
        <v>2468.83</v>
      </c>
      <c r="I819" s="59">
        <f>2713*0.95</f>
        <v>2577.35</v>
      </c>
      <c r="J819" s="65">
        <v>548.92913</v>
      </c>
      <c r="K819" s="164">
        <v>3184.3232</v>
      </c>
      <c r="L819" s="189"/>
      <c r="M819" s="59">
        <v>29.19</v>
      </c>
      <c r="N819" s="65"/>
      <c r="O819" s="65">
        <v>2687.68</v>
      </c>
      <c r="P819" s="374">
        <v>2687.68</v>
      </c>
      <c r="Q819" s="375">
        <v>2687.68</v>
      </c>
    </row>
    <row r="820" spans="1:17" ht="12.75" hidden="1">
      <c r="A820" s="270"/>
      <c r="B820" s="99"/>
      <c r="C820" s="53"/>
      <c r="D820" s="53"/>
      <c r="E820" s="53"/>
      <c r="F820" s="55" t="s">
        <v>147</v>
      </c>
      <c r="G820" s="65">
        <v>0</v>
      </c>
      <c r="H820" s="59">
        <f>3*0.91</f>
        <v>2.73</v>
      </c>
      <c r="I820" s="59">
        <f>3*0.95</f>
        <v>2.8499999999999996</v>
      </c>
      <c r="J820" s="65">
        <v>2</v>
      </c>
      <c r="K820" s="164">
        <v>2</v>
      </c>
      <c r="L820" s="189">
        <v>-0.2</v>
      </c>
      <c r="M820" s="59"/>
      <c r="N820" s="65"/>
      <c r="O820" s="65">
        <v>5.21</v>
      </c>
      <c r="P820" s="374">
        <v>5.21</v>
      </c>
      <c r="Q820" s="375">
        <v>5.21</v>
      </c>
    </row>
    <row r="821" spans="1:17" ht="12.75" hidden="1">
      <c r="A821" s="272"/>
      <c r="B821" s="143"/>
      <c r="C821" s="56"/>
      <c r="D821" s="56"/>
      <c r="E821" s="56"/>
      <c r="F821" s="58" t="s">
        <v>148</v>
      </c>
      <c r="G821" s="65">
        <v>759.16593</v>
      </c>
      <c r="H821" s="59">
        <f>820*0.91</f>
        <v>746.2</v>
      </c>
      <c r="I821" s="59">
        <f>820*0.95</f>
        <v>779</v>
      </c>
      <c r="J821" s="65">
        <v>202.49968</v>
      </c>
      <c r="K821" s="164">
        <v>961.66561</v>
      </c>
      <c r="L821" s="189"/>
      <c r="M821" s="59">
        <v>8.815</v>
      </c>
      <c r="N821" s="65"/>
      <c r="O821" s="65">
        <v>811.68</v>
      </c>
      <c r="P821" s="374">
        <v>811.68</v>
      </c>
      <c r="Q821" s="375">
        <v>811.68</v>
      </c>
    </row>
    <row r="822" spans="1:17" ht="16.5" customHeight="1">
      <c r="A822" s="277" t="s">
        <v>80</v>
      </c>
      <c r="B822" s="99" t="s">
        <v>226</v>
      </c>
      <c r="C822" s="53" t="s">
        <v>186</v>
      </c>
      <c r="D822" s="53" t="s">
        <v>341</v>
      </c>
      <c r="E822" s="53" t="s">
        <v>152</v>
      </c>
      <c r="F822" s="55" t="s">
        <v>77</v>
      </c>
      <c r="G822" s="65" t="e">
        <f>#REF!+G823+#REF!+G824+#REF!+G827</f>
        <v>#REF!</v>
      </c>
      <c r="H822" s="59" t="e">
        <f>#REF!+H823+#REF!+H824+#REF!+H827</f>
        <v>#REF!</v>
      </c>
      <c r="I822" s="59" t="e">
        <f>#REF!+I823+#REF!+I824+#REF!+I827</f>
        <v>#REF!</v>
      </c>
      <c r="J822" s="65" t="e">
        <f>#REF!+J823+#REF!+J824+#REF!+J827</f>
        <v>#REF!</v>
      </c>
      <c r="K822" s="164" t="e">
        <f>#REF!+K823+#REF!+K824+#REF!+K827+#REF!</f>
        <v>#REF!</v>
      </c>
      <c r="L822" s="164" t="e">
        <f>#REF!+L823+#REF!+L824+#REF!+L827+#REF!</f>
        <v>#REF!</v>
      </c>
      <c r="M822" s="164" t="e">
        <f>#REF!+M823+#REF!+M824+#REF!+M827+#REF!</f>
        <v>#REF!</v>
      </c>
      <c r="N822" s="164">
        <f>N823+N824+N827</f>
        <v>0</v>
      </c>
      <c r="O822" s="65">
        <f>O823+O824+O827</f>
        <v>71.42</v>
      </c>
      <c r="P822" s="374">
        <f>P823+P824+P827</f>
        <v>71.42</v>
      </c>
      <c r="Q822" s="375">
        <f>Q823+Q824+Q827</f>
        <v>71.42</v>
      </c>
    </row>
    <row r="823" spans="1:17" ht="12.75" hidden="1">
      <c r="A823" s="272"/>
      <c r="B823" s="143"/>
      <c r="C823" s="56"/>
      <c r="D823" s="56"/>
      <c r="E823" s="56"/>
      <c r="F823" s="58" t="s">
        <v>165</v>
      </c>
      <c r="G823" s="65">
        <v>2</v>
      </c>
      <c r="H823" s="59">
        <f>8*0.91</f>
        <v>7.28</v>
      </c>
      <c r="I823" s="59">
        <f>9*0.95</f>
        <v>8.549999999999999</v>
      </c>
      <c r="J823" s="65"/>
      <c r="K823" s="164">
        <v>2</v>
      </c>
      <c r="L823" s="189"/>
      <c r="M823" s="59"/>
      <c r="N823" s="65"/>
      <c r="O823" s="65">
        <v>7.08</v>
      </c>
      <c r="P823" s="374">
        <v>7.08</v>
      </c>
      <c r="Q823" s="375">
        <v>7.08</v>
      </c>
    </row>
    <row r="824" spans="1:17" ht="12.75" hidden="1">
      <c r="A824" s="272"/>
      <c r="B824" s="143"/>
      <c r="C824" s="56"/>
      <c r="D824" s="56"/>
      <c r="E824" s="56"/>
      <c r="F824" s="58" t="s">
        <v>167</v>
      </c>
      <c r="G824" s="65">
        <v>20.70527</v>
      </c>
      <c r="H824" s="59">
        <f>3*0.91</f>
        <v>2.73</v>
      </c>
      <c r="I824" s="59">
        <f>3*0.95</f>
        <v>2.8499999999999996</v>
      </c>
      <c r="J824" s="65">
        <v>2351.40435</v>
      </c>
      <c r="K824" s="164">
        <v>2372.10962</v>
      </c>
      <c r="L824" s="189"/>
      <c r="M824" s="59"/>
      <c r="N824" s="65"/>
      <c r="O824" s="65">
        <v>32.17</v>
      </c>
      <c r="P824" s="374">
        <v>32.17</v>
      </c>
      <c r="Q824" s="375">
        <v>32.17</v>
      </c>
    </row>
    <row r="825" spans="1:17" ht="12.75" hidden="1">
      <c r="A825" s="270"/>
      <c r="B825" s="99"/>
      <c r="C825" s="53"/>
      <c r="D825" s="53"/>
      <c r="E825" s="53"/>
      <c r="F825" s="55" t="s">
        <v>168</v>
      </c>
      <c r="G825" s="65">
        <f>110*0.96</f>
        <v>105.6</v>
      </c>
      <c r="H825" s="59">
        <f>115*0.91</f>
        <v>104.65</v>
      </c>
      <c r="I825" s="59">
        <f>H825*1.049*0.95</f>
        <v>104.2889575</v>
      </c>
      <c r="J825" s="65">
        <v>120</v>
      </c>
      <c r="K825" s="164">
        <v>225.6</v>
      </c>
      <c r="L825" s="189"/>
      <c r="M825" s="59"/>
      <c r="N825" s="65"/>
      <c r="O825" s="65">
        <v>193.05</v>
      </c>
      <c r="P825" s="374">
        <v>193.05</v>
      </c>
      <c r="Q825" s="375">
        <v>193.05</v>
      </c>
    </row>
    <row r="826" spans="1:17" ht="16.5" customHeight="1" thickBot="1">
      <c r="A826" s="277" t="s">
        <v>81</v>
      </c>
      <c r="B826" s="99" t="s">
        <v>226</v>
      </c>
      <c r="C826" s="53" t="s">
        <v>186</v>
      </c>
      <c r="D826" s="53" t="s">
        <v>341</v>
      </c>
      <c r="E826" s="53" t="s">
        <v>152</v>
      </c>
      <c r="F826" s="55" t="s">
        <v>78</v>
      </c>
      <c r="G826" s="65">
        <f aca="true" t="shared" si="146" ref="G826:Q826">G825</f>
        <v>105.6</v>
      </c>
      <c r="H826" s="59">
        <f t="shared" si="146"/>
        <v>104.65</v>
      </c>
      <c r="I826" s="59">
        <f t="shared" si="146"/>
        <v>104.2889575</v>
      </c>
      <c r="J826" s="65">
        <f t="shared" si="146"/>
        <v>120</v>
      </c>
      <c r="K826" s="164">
        <f t="shared" si="146"/>
        <v>225.6</v>
      </c>
      <c r="L826" s="164">
        <f t="shared" si="146"/>
        <v>0</v>
      </c>
      <c r="M826" s="164">
        <f t="shared" si="146"/>
        <v>0</v>
      </c>
      <c r="N826" s="164">
        <f t="shared" si="146"/>
        <v>0</v>
      </c>
      <c r="O826" s="65">
        <f t="shared" si="146"/>
        <v>193.05</v>
      </c>
      <c r="P826" s="374">
        <f t="shared" si="146"/>
        <v>193.05</v>
      </c>
      <c r="Q826" s="375">
        <f t="shared" si="146"/>
        <v>193.05</v>
      </c>
    </row>
    <row r="827" spans="1:17" ht="13.5" hidden="1" thickBot="1">
      <c r="A827" s="272"/>
      <c r="B827" s="26"/>
      <c r="C827" s="56"/>
      <c r="D827" s="56"/>
      <c r="E827" s="56"/>
      <c r="F827" s="58" t="s">
        <v>170</v>
      </c>
      <c r="G827" s="72"/>
      <c r="H827" s="80">
        <f>12*0.91</f>
        <v>10.92</v>
      </c>
      <c r="I827" s="80">
        <f>13*0.95</f>
        <v>12.35</v>
      </c>
      <c r="J827" s="72">
        <v>23</v>
      </c>
      <c r="K827" s="164">
        <v>23</v>
      </c>
      <c r="L827" s="189"/>
      <c r="M827" s="59"/>
      <c r="N827" s="65"/>
      <c r="O827" s="65">
        <v>32.17</v>
      </c>
      <c r="P827" s="374">
        <v>32.17</v>
      </c>
      <c r="Q827" s="375">
        <v>32.17</v>
      </c>
    </row>
    <row r="828" spans="1:17" ht="23.25" customHeight="1" hidden="1">
      <c r="A828" s="269" t="s">
        <v>376</v>
      </c>
      <c r="B828" s="43" t="s">
        <v>226</v>
      </c>
      <c r="C828" s="44" t="s">
        <v>186</v>
      </c>
      <c r="D828" s="44" t="s">
        <v>341</v>
      </c>
      <c r="E828" s="44" t="s">
        <v>375</v>
      </c>
      <c r="F828" s="46"/>
      <c r="G828" s="248">
        <f>G829</f>
        <v>0</v>
      </c>
      <c r="H828" s="159">
        <f aca="true" t="shared" si="147" ref="H828:Q829">H829</f>
        <v>0</v>
      </c>
      <c r="I828" s="159">
        <f t="shared" si="147"/>
        <v>0</v>
      </c>
      <c r="J828" s="159">
        <f t="shared" si="147"/>
        <v>3717.4346000000005</v>
      </c>
      <c r="K828" s="182">
        <f t="shared" si="147"/>
        <v>3717.4346000000005</v>
      </c>
      <c r="L828" s="182">
        <f t="shared" si="147"/>
        <v>0</v>
      </c>
      <c r="M828" s="182">
        <f t="shared" si="147"/>
        <v>109.09418</v>
      </c>
      <c r="N828" s="182">
        <f t="shared" si="147"/>
        <v>0</v>
      </c>
      <c r="O828" s="201">
        <f t="shared" si="147"/>
        <v>0</v>
      </c>
      <c r="P828" s="370">
        <f t="shared" si="147"/>
        <v>0</v>
      </c>
      <c r="Q828" s="371">
        <f t="shared" si="147"/>
        <v>0</v>
      </c>
    </row>
    <row r="829" spans="1:17" ht="25.5" hidden="1">
      <c r="A829" s="275" t="s">
        <v>117</v>
      </c>
      <c r="B829" s="73" t="s">
        <v>226</v>
      </c>
      <c r="C829" s="81" t="s">
        <v>186</v>
      </c>
      <c r="D829" s="81" t="s">
        <v>341</v>
      </c>
      <c r="E829" s="81" t="s">
        <v>364</v>
      </c>
      <c r="F829" s="77"/>
      <c r="G829" s="248">
        <f>G830</f>
        <v>0</v>
      </c>
      <c r="H829" s="159">
        <f t="shared" si="147"/>
        <v>0</v>
      </c>
      <c r="I829" s="159">
        <f t="shared" si="147"/>
        <v>0</v>
      </c>
      <c r="J829" s="159">
        <f t="shared" si="147"/>
        <v>3717.4346000000005</v>
      </c>
      <c r="K829" s="182">
        <f t="shared" si="147"/>
        <v>3717.4346000000005</v>
      </c>
      <c r="L829" s="182">
        <f t="shared" si="147"/>
        <v>0</v>
      </c>
      <c r="M829" s="182">
        <f t="shared" si="147"/>
        <v>109.09418</v>
      </c>
      <c r="N829" s="182">
        <f t="shared" si="147"/>
        <v>0</v>
      </c>
      <c r="O829" s="201">
        <f t="shared" si="147"/>
        <v>0</v>
      </c>
      <c r="P829" s="370">
        <f t="shared" si="147"/>
        <v>0</v>
      </c>
      <c r="Q829" s="371">
        <f t="shared" si="147"/>
        <v>0</v>
      </c>
    </row>
    <row r="830" spans="1:17" ht="12.75" hidden="1">
      <c r="A830" s="301" t="s">
        <v>90</v>
      </c>
      <c r="B830" s="143" t="s">
        <v>226</v>
      </c>
      <c r="C830" s="56" t="s">
        <v>186</v>
      </c>
      <c r="D830" s="56" t="s">
        <v>341</v>
      </c>
      <c r="E830" s="56" t="s">
        <v>364</v>
      </c>
      <c r="F830" s="58" t="s">
        <v>83</v>
      </c>
      <c r="G830" s="250">
        <f aca="true" t="shared" si="148" ref="G830:N830">G831+G832+G833+G834+G835+G836+G837+G838+G839+G840</f>
        <v>0</v>
      </c>
      <c r="H830" s="104">
        <f t="shared" si="148"/>
        <v>0</v>
      </c>
      <c r="I830" s="104">
        <f t="shared" si="148"/>
        <v>0</v>
      </c>
      <c r="J830" s="104">
        <f t="shared" si="148"/>
        <v>3717.4346000000005</v>
      </c>
      <c r="K830" s="180">
        <f t="shared" si="148"/>
        <v>3717.4346000000005</v>
      </c>
      <c r="L830" s="180">
        <f t="shared" si="148"/>
        <v>0</v>
      </c>
      <c r="M830" s="180">
        <f t="shared" si="148"/>
        <v>109.09418</v>
      </c>
      <c r="N830" s="180">
        <f t="shared" si="148"/>
        <v>0</v>
      </c>
      <c r="O830" s="202">
        <f>O831+O832+O833+O834+O835+O836+O837+O838+O839+O840</f>
        <v>0</v>
      </c>
      <c r="P830" s="374">
        <f>P831+P832+P833+P834+P835+P836+P837+P838+P839+P840</f>
        <v>0</v>
      </c>
      <c r="Q830" s="375">
        <f>Q831+Q832+Q833+Q834+Q835+Q836+Q837+Q838+Q839+Q840</f>
        <v>0</v>
      </c>
    </row>
    <row r="831" spans="1:17" ht="12.75" hidden="1">
      <c r="A831" s="293"/>
      <c r="B831" s="48"/>
      <c r="C831" s="53"/>
      <c r="D831" s="53"/>
      <c r="E831" s="53"/>
      <c r="F831" s="55" t="s">
        <v>146</v>
      </c>
      <c r="G831" s="250"/>
      <c r="H831" s="104"/>
      <c r="I831" s="104"/>
      <c r="J831" s="104">
        <v>2822.3</v>
      </c>
      <c r="K831" s="166">
        <v>2822.3</v>
      </c>
      <c r="L831" s="189"/>
      <c r="M831" s="59">
        <v>83.78969</v>
      </c>
      <c r="N831" s="65"/>
      <c r="O831" s="65"/>
      <c r="P831" s="374"/>
      <c r="Q831" s="375"/>
    </row>
    <row r="832" spans="1:17" ht="12.75" hidden="1">
      <c r="A832" s="304"/>
      <c r="B832" s="26"/>
      <c r="C832" s="56"/>
      <c r="D832" s="56"/>
      <c r="E832" s="56"/>
      <c r="F832" s="58" t="s">
        <v>147</v>
      </c>
      <c r="G832" s="250"/>
      <c r="H832" s="104"/>
      <c r="I832" s="104"/>
      <c r="J832" s="104">
        <v>0.5</v>
      </c>
      <c r="K832" s="166">
        <v>0.5</v>
      </c>
      <c r="L832" s="189"/>
      <c r="M832" s="59"/>
      <c r="N832" s="65"/>
      <c r="O832" s="65"/>
      <c r="P832" s="374"/>
      <c r="Q832" s="375"/>
    </row>
    <row r="833" spans="1:17" ht="12.75" hidden="1">
      <c r="A833" s="293"/>
      <c r="B833" s="48"/>
      <c r="C833" s="53"/>
      <c r="D833" s="53"/>
      <c r="E833" s="53"/>
      <c r="F833" s="55" t="s">
        <v>148</v>
      </c>
      <c r="G833" s="250"/>
      <c r="H833" s="104"/>
      <c r="I833" s="104"/>
      <c r="J833" s="104">
        <v>852.3346</v>
      </c>
      <c r="K833" s="166">
        <v>852.3346</v>
      </c>
      <c r="L833" s="189"/>
      <c r="M833" s="59">
        <v>25.30449</v>
      </c>
      <c r="N833" s="65"/>
      <c r="O833" s="65"/>
      <c r="P833" s="374"/>
      <c r="Q833" s="375"/>
    </row>
    <row r="834" spans="1:17" ht="12.75" hidden="1">
      <c r="A834" s="304"/>
      <c r="B834" s="26"/>
      <c r="C834" s="56"/>
      <c r="D834" s="56"/>
      <c r="E834" s="56"/>
      <c r="F834" s="58" t="s">
        <v>164</v>
      </c>
      <c r="G834" s="250"/>
      <c r="H834" s="104"/>
      <c r="I834" s="104"/>
      <c r="J834" s="104"/>
      <c r="K834" s="166">
        <f>G834+J834</f>
        <v>0</v>
      </c>
      <c r="L834" s="189"/>
      <c r="M834" s="59"/>
      <c r="N834" s="65"/>
      <c r="O834" s="65"/>
      <c r="P834" s="374"/>
      <c r="Q834" s="375"/>
    </row>
    <row r="835" spans="1:17" ht="12.75" hidden="1">
      <c r="A835" s="293"/>
      <c r="B835" s="48"/>
      <c r="C835" s="53"/>
      <c r="D835" s="53"/>
      <c r="E835" s="53"/>
      <c r="F835" s="55" t="s">
        <v>165</v>
      </c>
      <c r="G835" s="250"/>
      <c r="H835" s="104"/>
      <c r="I835" s="104"/>
      <c r="J835" s="104">
        <v>4</v>
      </c>
      <c r="K835" s="166">
        <v>4</v>
      </c>
      <c r="L835" s="189"/>
      <c r="M835" s="59"/>
      <c r="N835" s="65"/>
      <c r="O835" s="65"/>
      <c r="P835" s="374"/>
      <c r="Q835" s="375"/>
    </row>
    <row r="836" spans="1:17" ht="12.75" hidden="1">
      <c r="A836" s="304"/>
      <c r="B836" s="26"/>
      <c r="C836" s="56"/>
      <c r="D836" s="56"/>
      <c r="E836" s="56"/>
      <c r="F836" s="58" t="s">
        <v>166</v>
      </c>
      <c r="G836" s="250"/>
      <c r="H836" s="104"/>
      <c r="I836" s="104"/>
      <c r="J836" s="104"/>
      <c r="K836" s="166">
        <f>G836+J836</f>
        <v>0</v>
      </c>
      <c r="L836" s="189"/>
      <c r="M836" s="59"/>
      <c r="N836" s="65"/>
      <c r="O836" s="65"/>
      <c r="P836" s="374"/>
      <c r="Q836" s="375"/>
    </row>
    <row r="837" spans="1:17" ht="12.75" hidden="1">
      <c r="A837" s="293"/>
      <c r="B837" s="48"/>
      <c r="C837" s="53"/>
      <c r="D837" s="53"/>
      <c r="E837" s="53"/>
      <c r="F837" s="55" t="s">
        <v>167</v>
      </c>
      <c r="G837" s="250"/>
      <c r="H837" s="104"/>
      <c r="I837" s="104"/>
      <c r="J837" s="104">
        <v>3</v>
      </c>
      <c r="K837" s="166">
        <v>3</v>
      </c>
      <c r="L837" s="189"/>
      <c r="M837" s="59"/>
      <c r="N837" s="65"/>
      <c r="O837" s="65"/>
      <c r="P837" s="374"/>
      <c r="Q837" s="375"/>
    </row>
    <row r="838" spans="1:17" ht="12.75" hidden="1">
      <c r="A838" s="304"/>
      <c r="B838" s="26"/>
      <c r="C838" s="56"/>
      <c r="D838" s="56"/>
      <c r="E838" s="56"/>
      <c r="F838" s="58" t="s">
        <v>168</v>
      </c>
      <c r="G838" s="250"/>
      <c r="H838" s="104"/>
      <c r="I838" s="104"/>
      <c r="J838" s="104">
        <v>10</v>
      </c>
      <c r="K838" s="166">
        <v>10</v>
      </c>
      <c r="L838" s="189"/>
      <c r="M838" s="59"/>
      <c r="N838" s="65"/>
      <c r="O838" s="65"/>
      <c r="P838" s="374"/>
      <c r="Q838" s="375"/>
    </row>
    <row r="839" spans="1:17" ht="12.75" hidden="1">
      <c r="A839" s="293"/>
      <c r="B839" s="48"/>
      <c r="C839" s="53"/>
      <c r="D839" s="53"/>
      <c r="E839" s="53"/>
      <c r="F839" s="55" t="s">
        <v>169</v>
      </c>
      <c r="G839" s="250"/>
      <c r="H839" s="104"/>
      <c r="I839" s="104"/>
      <c r="J839" s="104"/>
      <c r="K839" s="166">
        <f>G839+J839</f>
        <v>0</v>
      </c>
      <c r="L839" s="189"/>
      <c r="M839" s="59"/>
      <c r="N839" s="65"/>
      <c r="O839" s="65"/>
      <c r="P839" s="374"/>
      <c r="Q839" s="375"/>
    </row>
    <row r="840" spans="1:17" ht="13.5" hidden="1" thickBot="1">
      <c r="A840" s="304"/>
      <c r="B840" s="26"/>
      <c r="C840" s="56"/>
      <c r="D840" s="56"/>
      <c r="E840" s="56"/>
      <c r="F840" s="58" t="s">
        <v>170</v>
      </c>
      <c r="G840" s="250"/>
      <c r="H840" s="104"/>
      <c r="I840" s="104"/>
      <c r="J840" s="104">
        <v>25.3</v>
      </c>
      <c r="K840" s="166">
        <v>25.3</v>
      </c>
      <c r="L840" s="189"/>
      <c r="M840" s="59"/>
      <c r="N840" s="65"/>
      <c r="O840" s="65"/>
      <c r="P840" s="374"/>
      <c r="Q840" s="375"/>
    </row>
    <row r="841" spans="1:17" ht="38.25">
      <c r="A841" s="269" t="s">
        <v>343</v>
      </c>
      <c r="B841" s="43" t="s">
        <v>226</v>
      </c>
      <c r="C841" s="44" t="s">
        <v>186</v>
      </c>
      <c r="D841" s="44" t="s">
        <v>341</v>
      </c>
      <c r="E841" s="44" t="s">
        <v>344</v>
      </c>
      <c r="F841" s="46"/>
      <c r="G841" s="64">
        <f aca="true" t="shared" si="149" ref="G841:Q842">G842</f>
        <v>14839.68</v>
      </c>
      <c r="H841" s="37">
        <f t="shared" si="149"/>
        <v>13737.006920000002</v>
      </c>
      <c r="I841" s="37">
        <f t="shared" si="149"/>
        <v>14325.731001876002</v>
      </c>
      <c r="J841" s="64">
        <f t="shared" si="149"/>
        <v>-2367.52446</v>
      </c>
      <c r="K841" s="172">
        <f t="shared" si="149"/>
        <v>12472.155540000003</v>
      </c>
      <c r="L841" s="172">
        <f t="shared" si="149"/>
        <v>178</v>
      </c>
      <c r="M841" s="172">
        <f t="shared" si="149"/>
        <v>286.04213</v>
      </c>
      <c r="N841" s="172">
        <f t="shared" si="149"/>
        <v>0</v>
      </c>
      <c r="O841" s="131">
        <f t="shared" si="149"/>
        <v>9938.859999999999</v>
      </c>
      <c r="P841" s="368">
        <f t="shared" si="149"/>
        <v>9938.859999999999</v>
      </c>
      <c r="Q841" s="369">
        <f t="shared" si="149"/>
        <v>9938.859999999999</v>
      </c>
    </row>
    <row r="842" spans="1:17" ht="25.5">
      <c r="A842" s="275" t="s">
        <v>117</v>
      </c>
      <c r="B842" s="73" t="s">
        <v>226</v>
      </c>
      <c r="C842" s="81" t="s">
        <v>186</v>
      </c>
      <c r="D842" s="81" t="s">
        <v>341</v>
      </c>
      <c r="E842" s="81" t="s">
        <v>345</v>
      </c>
      <c r="F842" s="77"/>
      <c r="G842" s="64">
        <f t="shared" si="149"/>
        <v>14839.68</v>
      </c>
      <c r="H842" s="64">
        <f t="shared" si="149"/>
        <v>13737.006920000002</v>
      </c>
      <c r="I842" s="64">
        <f t="shared" si="149"/>
        <v>14325.731001876002</v>
      </c>
      <c r="J842" s="64">
        <f t="shared" si="149"/>
        <v>-2367.52446</v>
      </c>
      <c r="K842" s="176">
        <f t="shared" si="149"/>
        <v>12472.155540000003</v>
      </c>
      <c r="L842" s="176">
        <f t="shared" si="149"/>
        <v>178</v>
      </c>
      <c r="M842" s="176">
        <f t="shared" si="149"/>
        <v>286.04213</v>
      </c>
      <c r="N842" s="176">
        <f t="shared" si="149"/>
        <v>0</v>
      </c>
      <c r="O842" s="64">
        <f t="shared" si="149"/>
        <v>9938.859999999999</v>
      </c>
      <c r="P842" s="380">
        <f t="shared" si="149"/>
        <v>9938.859999999999</v>
      </c>
      <c r="Q842" s="381">
        <f t="shared" si="149"/>
        <v>9938.859999999999</v>
      </c>
    </row>
    <row r="843" spans="1:17" ht="16.5" customHeight="1" thickBot="1">
      <c r="A843" s="308" t="s">
        <v>90</v>
      </c>
      <c r="B843" s="139" t="s">
        <v>226</v>
      </c>
      <c r="C843" s="87" t="s">
        <v>186</v>
      </c>
      <c r="D843" s="87" t="s">
        <v>341</v>
      </c>
      <c r="E843" s="87" t="s">
        <v>345</v>
      </c>
      <c r="F843" s="88" t="s">
        <v>83</v>
      </c>
      <c r="G843" s="70">
        <f aca="true" t="shared" si="150" ref="G843:N843">G844+G845+G846+G847+G848+G849+G850+G851+G852+G853</f>
        <v>14839.68</v>
      </c>
      <c r="H843" s="70">
        <f t="shared" si="150"/>
        <v>13737.006920000002</v>
      </c>
      <c r="I843" s="70">
        <f t="shared" si="150"/>
        <v>14325.731001876002</v>
      </c>
      <c r="J843" s="70">
        <f t="shared" si="150"/>
        <v>-2367.52446</v>
      </c>
      <c r="K843" s="177">
        <f t="shared" si="150"/>
        <v>12472.155540000003</v>
      </c>
      <c r="L843" s="177">
        <f t="shared" si="150"/>
        <v>178</v>
      </c>
      <c r="M843" s="177">
        <f t="shared" si="150"/>
        <v>286.04213</v>
      </c>
      <c r="N843" s="177">
        <f t="shared" si="150"/>
        <v>0</v>
      </c>
      <c r="O843" s="70">
        <f>O844+O845+O846+O847+O848+O849+O850+O851+O852+O853</f>
        <v>9938.859999999999</v>
      </c>
      <c r="P843" s="376">
        <f>P844+P845+P846+P847+P848+P849+P850+P851+P852+P853</f>
        <v>9938.859999999999</v>
      </c>
      <c r="Q843" s="377">
        <f>Q844+Q845+Q846+Q847+Q848+Q849+Q850+Q851+Q852+Q853</f>
        <v>9938.859999999999</v>
      </c>
    </row>
    <row r="844" spans="1:17" ht="15.75" customHeight="1" hidden="1">
      <c r="A844" s="283"/>
      <c r="B844" s="73"/>
      <c r="C844" s="74"/>
      <c r="D844" s="74"/>
      <c r="E844" s="74"/>
      <c r="F844" s="75" t="s">
        <v>146</v>
      </c>
      <c r="G844" s="76">
        <v>11134.69184</v>
      </c>
      <c r="H844" s="98">
        <f>11209*0.91</f>
        <v>10200.19</v>
      </c>
      <c r="I844" s="98">
        <f>11209*0.95</f>
        <v>10648.55</v>
      </c>
      <c r="J844" s="76">
        <v>-2095.87966</v>
      </c>
      <c r="K844" s="166">
        <v>9038.81218</v>
      </c>
      <c r="L844" s="199"/>
      <c r="M844" s="98">
        <v>82.98167</v>
      </c>
      <c r="N844" s="76"/>
      <c r="O844" s="76">
        <v>7297.44</v>
      </c>
      <c r="P844" s="382">
        <v>7297.44</v>
      </c>
      <c r="Q844" s="383">
        <v>7297.44</v>
      </c>
    </row>
    <row r="845" spans="1:17" ht="12.75" hidden="1">
      <c r="A845" s="304"/>
      <c r="B845" s="26"/>
      <c r="C845" s="56"/>
      <c r="D845" s="56"/>
      <c r="E845" s="56"/>
      <c r="F845" s="58" t="s">
        <v>148</v>
      </c>
      <c r="G845" s="65"/>
      <c r="H845" s="59">
        <f>3*0.91</f>
        <v>2.73</v>
      </c>
      <c r="I845" s="59">
        <f>3*0.95</f>
        <v>2.8499999999999996</v>
      </c>
      <c r="J845" s="65"/>
      <c r="K845" s="164">
        <f>G845+J845</f>
        <v>0</v>
      </c>
      <c r="L845" s="189"/>
      <c r="M845" s="59"/>
      <c r="N845" s="65"/>
      <c r="O845" s="65">
        <v>2203.84</v>
      </c>
      <c r="P845" s="374">
        <v>2203.84</v>
      </c>
      <c r="Q845" s="375">
        <v>2203.84</v>
      </c>
    </row>
    <row r="846" spans="1:17" ht="12.75" hidden="1">
      <c r="A846" s="293"/>
      <c r="B846" s="48"/>
      <c r="C846" s="53"/>
      <c r="D846" s="53"/>
      <c r="E846" s="53"/>
      <c r="F846" s="55" t="s">
        <v>168</v>
      </c>
      <c r="G846" s="65">
        <v>3270.77259</v>
      </c>
      <c r="H846" s="59">
        <f>3385*0.91</f>
        <v>3080.35</v>
      </c>
      <c r="I846" s="59">
        <f>3385*0.95</f>
        <v>3215.75</v>
      </c>
      <c r="J846" s="65">
        <v>-659.53572</v>
      </c>
      <c r="K846" s="164">
        <v>2611.23687</v>
      </c>
      <c r="L846" s="189"/>
      <c r="M846" s="59">
        <v>25.06046</v>
      </c>
      <c r="N846" s="65"/>
      <c r="O846" s="65">
        <v>28.96</v>
      </c>
      <c r="P846" s="374">
        <v>28.96</v>
      </c>
      <c r="Q846" s="375">
        <v>28.96</v>
      </c>
    </row>
    <row r="847" spans="1:17" ht="12.75" hidden="1">
      <c r="A847" s="304"/>
      <c r="B847" s="26"/>
      <c r="C847" s="56"/>
      <c r="D847" s="56"/>
      <c r="E847" s="56"/>
      <c r="F847" s="58" t="s">
        <v>164</v>
      </c>
      <c r="G847" s="65">
        <v>56</v>
      </c>
      <c r="H847" s="59">
        <f>G847*1.052*0.91</f>
        <v>53.60992000000001</v>
      </c>
      <c r="I847" s="59">
        <f>H847*1.049*0.95</f>
        <v>53.42496577600001</v>
      </c>
      <c r="J847" s="65">
        <v>84.78408</v>
      </c>
      <c r="K847" s="164">
        <v>140.78408</v>
      </c>
      <c r="L847" s="189">
        <v>92</v>
      </c>
      <c r="M847" s="59">
        <v>92</v>
      </c>
      <c r="N847" s="65"/>
      <c r="O847" s="65"/>
      <c r="P847" s="374"/>
      <c r="Q847" s="375"/>
    </row>
    <row r="848" spans="1:17" ht="12.75" hidden="1">
      <c r="A848" s="293"/>
      <c r="B848" s="48"/>
      <c r="C848" s="53"/>
      <c r="D848" s="53"/>
      <c r="E848" s="53"/>
      <c r="F848" s="55" t="s">
        <v>165</v>
      </c>
      <c r="G848" s="65">
        <v>0</v>
      </c>
      <c r="H848" s="59">
        <f>12.5*0.91</f>
        <v>11.375</v>
      </c>
      <c r="I848" s="59">
        <f>13*0.95</f>
        <v>12.35</v>
      </c>
      <c r="J848" s="65"/>
      <c r="K848" s="164">
        <f>G848+J848</f>
        <v>0</v>
      </c>
      <c r="L848" s="189"/>
      <c r="M848" s="59"/>
      <c r="N848" s="65"/>
      <c r="O848" s="65"/>
      <c r="P848" s="374"/>
      <c r="Q848" s="375"/>
    </row>
    <row r="849" spans="1:17" ht="12.75" hidden="1">
      <c r="A849" s="304"/>
      <c r="B849" s="26"/>
      <c r="C849" s="56"/>
      <c r="D849" s="56"/>
      <c r="E849" s="56"/>
      <c r="F849" s="58" t="s">
        <v>166</v>
      </c>
      <c r="G849" s="65">
        <v>22.24932</v>
      </c>
      <c r="H849" s="59">
        <f>11*0.91</f>
        <v>10.01</v>
      </c>
      <c r="I849" s="59">
        <f>11*0.95</f>
        <v>10.45</v>
      </c>
      <c r="J849" s="65">
        <v>-0.67432</v>
      </c>
      <c r="K849" s="164">
        <v>21.575</v>
      </c>
      <c r="L849" s="189"/>
      <c r="M849" s="59"/>
      <c r="N849" s="65"/>
      <c r="O849" s="65">
        <v>16.09</v>
      </c>
      <c r="P849" s="374">
        <v>16.09</v>
      </c>
      <c r="Q849" s="375">
        <v>16.09</v>
      </c>
    </row>
    <row r="850" spans="1:17" ht="12.75" hidden="1">
      <c r="A850" s="293"/>
      <c r="B850" s="48"/>
      <c r="C850" s="53"/>
      <c r="D850" s="53"/>
      <c r="E850" s="53"/>
      <c r="F850" s="55" t="s">
        <v>167</v>
      </c>
      <c r="G850" s="65">
        <v>100</v>
      </c>
      <c r="H850" s="59">
        <f>G850*1.052*0.91</f>
        <v>95.732</v>
      </c>
      <c r="I850" s="59">
        <f>H850*1.049*0.95</f>
        <v>95.4017246</v>
      </c>
      <c r="J850" s="65">
        <v>-30.72677</v>
      </c>
      <c r="K850" s="164">
        <v>69.27323</v>
      </c>
      <c r="L850" s="189"/>
      <c r="M850" s="59"/>
      <c r="N850" s="65"/>
      <c r="O850" s="65">
        <v>64.35</v>
      </c>
      <c r="P850" s="374">
        <v>64.35</v>
      </c>
      <c r="Q850" s="375">
        <v>64.35</v>
      </c>
    </row>
    <row r="851" spans="1:17" ht="12.75" hidden="1">
      <c r="A851" s="304"/>
      <c r="B851" s="26"/>
      <c r="C851" s="56"/>
      <c r="D851" s="56"/>
      <c r="E851" s="56"/>
      <c r="F851" s="58" t="s">
        <v>168</v>
      </c>
      <c r="G851" s="65">
        <v>5.96625</v>
      </c>
      <c r="H851" s="59">
        <f>44*0.91</f>
        <v>40.04</v>
      </c>
      <c r="I851" s="59">
        <f>46*0.95</f>
        <v>43.699999999999996</v>
      </c>
      <c r="J851" s="65">
        <v>-3.50407</v>
      </c>
      <c r="K851" s="164">
        <v>2.46218</v>
      </c>
      <c r="L851" s="189">
        <v>1</v>
      </c>
      <c r="M851" s="59">
        <v>1</v>
      </c>
      <c r="N851" s="65"/>
      <c r="O851" s="65">
        <v>6.43</v>
      </c>
      <c r="P851" s="374">
        <v>6.43</v>
      </c>
      <c r="Q851" s="375">
        <v>6.43</v>
      </c>
    </row>
    <row r="852" spans="1:17" ht="12.75" hidden="1">
      <c r="A852" s="293"/>
      <c r="B852" s="48"/>
      <c r="C852" s="53"/>
      <c r="D852" s="53"/>
      <c r="E852" s="53"/>
      <c r="F852" s="55" t="s">
        <v>169</v>
      </c>
      <c r="G852" s="65">
        <v>0</v>
      </c>
      <c r="H852" s="59">
        <f>4*0.91</f>
        <v>3.64</v>
      </c>
      <c r="I852" s="59">
        <f>5*0.95</f>
        <v>4.75</v>
      </c>
      <c r="J852" s="65"/>
      <c r="K852" s="164">
        <f>G852+J852</f>
        <v>0</v>
      </c>
      <c r="L852" s="189"/>
      <c r="M852" s="59"/>
      <c r="N852" s="65"/>
      <c r="O852" s="65"/>
      <c r="P852" s="374"/>
      <c r="Q852" s="375"/>
    </row>
    <row r="853" spans="1:17" ht="13.5" hidden="1" thickBot="1">
      <c r="A853" s="304"/>
      <c r="B853" s="26"/>
      <c r="C853" s="56"/>
      <c r="D853" s="56"/>
      <c r="E853" s="56"/>
      <c r="F853" s="58" t="s">
        <v>170</v>
      </c>
      <c r="G853" s="72">
        <v>250</v>
      </c>
      <c r="H853" s="80">
        <f>G853*1.052*0.91</f>
        <v>239.33</v>
      </c>
      <c r="I853" s="80">
        <f>H853*1.049*0.95</f>
        <v>238.50431149999997</v>
      </c>
      <c r="J853" s="72">
        <v>338.012</v>
      </c>
      <c r="K853" s="164">
        <v>588.012</v>
      </c>
      <c r="L853" s="189">
        <v>85</v>
      </c>
      <c r="M853" s="59">
        <v>85</v>
      </c>
      <c r="N853" s="65"/>
      <c r="O853" s="65">
        <v>321.75</v>
      </c>
      <c r="P853" s="374">
        <v>321.75</v>
      </c>
      <c r="Q853" s="375">
        <v>321.75</v>
      </c>
    </row>
    <row r="854" spans="1:17" ht="12.75" customHeight="1" hidden="1">
      <c r="A854" s="305" t="s">
        <v>325</v>
      </c>
      <c r="B854" s="43" t="s">
        <v>226</v>
      </c>
      <c r="C854" s="44" t="s">
        <v>186</v>
      </c>
      <c r="D854" s="44" t="s">
        <v>341</v>
      </c>
      <c r="E854" s="44" t="s">
        <v>326</v>
      </c>
      <c r="F854" s="46" t="s">
        <v>133</v>
      </c>
      <c r="G854" s="131">
        <f>G855+G857</f>
        <v>0</v>
      </c>
      <c r="H854" s="47">
        <f>H855+H857</f>
        <v>0</v>
      </c>
      <c r="I854" s="47">
        <f>I855+I857</f>
        <v>0</v>
      </c>
      <c r="J854" s="131">
        <f>J855+J857</f>
        <v>0</v>
      </c>
      <c r="K854" s="172">
        <f>K855+K857</f>
        <v>0</v>
      </c>
      <c r="L854" s="187"/>
      <c r="M854" s="52"/>
      <c r="N854" s="71"/>
      <c r="O854" s="71"/>
      <c r="P854" s="370"/>
      <c r="Q854" s="371"/>
    </row>
    <row r="855" spans="1:17" ht="13.5" hidden="1" thickBot="1">
      <c r="A855" s="275" t="s">
        <v>317</v>
      </c>
      <c r="B855" s="73" t="s">
        <v>226</v>
      </c>
      <c r="C855" s="74" t="s">
        <v>186</v>
      </c>
      <c r="D855" s="74" t="s">
        <v>341</v>
      </c>
      <c r="E855" s="74" t="s">
        <v>326</v>
      </c>
      <c r="F855" s="75" t="s">
        <v>318</v>
      </c>
      <c r="G855" s="76">
        <f>G856</f>
        <v>0</v>
      </c>
      <c r="H855" s="98">
        <f>H856</f>
        <v>0</v>
      </c>
      <c r="I855" s="98">
        <f>I856</f>
        <v>0</v>
      </c>
      <c r="J855" s="76">
        <f>J856</f>
        <v>0</v>
      </c>
      <c r="K855" s="166">
        <f>K856</f>
        <v>0</v>
      </c>
      <c r="L855" s="189"/>
      <c r="M855" s="59"/>
      <c r="N855" s="65"/>
      <c r="O855" s="65"/>
      <c r="P855" s="374"/>
      <c r="Q855" s="375"/>
    </row>
    <row r="856" spans="1:17" ht="13.5" hidden="1" thickBot="1">
      <c r="A856" s="272"/>
      <c r="B856" s="26"/>
      <c r="C856" s="56"/>
      <c r="D856" s="56"/>
      <c r="E856" s="56"/>
      <c r="F856" s="58" t="s">
        <v>168</v>
      </c>
      <c r="G856" s="65"/>
      <c r="H856" s="59"/>
      <c r="I856" s="59"/>
      <c r="J856" s="65"/>
      <c r="K856" s="164"/>
      <c r="L856" s="189"/>
      <c r="M856" s="59"/>
      <c r="N856" s="65"/>
      <c r="O856" s="65"/>
      <c r="P856" s="374"/>
      <c r="Q856" s="375"/>
    </row>
    <row r="857" spans="1:17" ht="13.5" hidden="1" thickBot="1">
      <c r="A857" s="270" t="s">
        <v>139</v>
      </c>
      <c r="B857" s="48" t="s">
        <v>226</v>
      </c>
      <c r="C857" s="53" t="s">
        <v>186</v>
      </c>
      <c r="D857" s="53" t="s">
        <v>341</v>
      </c>
      <c r="E857" s="53" t="s">
        <v>326</v>
      </c>
      <c r="F857" s="55" t="s">
        <v>140</v>
      </c>
      <c r="G857" s="65">
        <f>G858</f>
        <v>0</v>
      </c>
      <c r="H857" s="59">
        <f>H858</f>
        <v>0</v>
      </c>
      <c r="I857" s="59">
        <f>I858</f>
        <v>0</v>
      </c>
      <c r="J857" s="65">
        <f>J858</f>
        <v>0</v>
      </c>
      <c r="K857" s="164">
        <f>K858</f>
        <v>0</v>
      </c>
      <c r="L857" s="189"/>
      <c r="M857" s="59"/>
      <c r="N857" s="65"/>
      <c r="O857" s="65"/>
      <c r="P857" s="374"/>
      <c r="Q857" s="375"/>
    </row>
    <row r="858" spans="1:17" ht="13.5" hidden="1" thickBot="1">
      <c r="A858" s="273"/>
      <c r="B858" s="35"/>
      <c r="C858" s="60"/>
      <c r="D858" s="60"/>
      <c r="E858" s="60"/>
      <c r="F858" s="62" t="s">
        <v>168</v>
      </c>
      <c r="G858" s="70">
        <v>0</v>
      </c>
      <c r="H858" s="63">
        <v>0</v>
      </c>
      <c r="I858" s="63">
        <v>0</v>
      </c>
      <c r="J858" s="70">
        <v>0</v>
      </c>
      <c r="K858" s="177">
        <v>0</v>
      </c>
      <c r="L858" s="189"/>
      <c r="M858" s="59"/>
      <c r="N858" s="65"/>
      <c r="O858" s="65"/>
      <c r="P858" s="374"/>
      <c r="Q858" s="375"/>
    </row>
    <row r="859" spans="1:17" ht="75" customHeight="1" hidden="1">
      <c r="A859" s="306" t="s">
        <v>178</v>
      </c>
      <c r="B859" s="43" t="s">
        <v>226</v>
      </c>
      <c r="C859" s="44" t="s">
        <v>186</v>
      </c>
      <c r="D859" s="44" t="s">
        <v>341</v>
      </c>
      <c r="E859" s="44" t="s">
        <v>179</v>
      </c>
      <c r="F859" s="46" t="s">
        <v>133</v>
      </c>
      <c r="G859" s="131">
        <f aca="true" t="shared" si="151" ref="G859:K860">G860</f>
        <v>0</v>
      </c>
      <c r="H859" s="47">
        <f t="shared" si="151"/>
        <v>0</v>
      </c>
      <c r="I859" s="47">
        <f t="shared" si="151"/>
        <v>0</v>
      </c>
      <c r="J859" s="131">
        <f t="shared" si="151"/>
        <v>0</v>
      </c>
      <c r="K859" s="172">
        <f t="shared" si="151"/>
        <v>0</v>
      </c>
      <c r="L859" s="187"/>
      <c r="M859" s="52"/>
      <c r="N859" s="71"/>
      <c r="O859" s="71"/>
      <c r="P859" s="370"/>
      <c r="Q859" s="371"/>
    </row>
    <row r="860" spans="1:17" ht="13.5" hidden="1" thickBot="1">
      <c r="A860" s="283" t="s">
        <v>321</v>
      </c>
      <c r="B860" s="73" t="s">
        <v>226</v>
      </c>
      <c r="C860" s="74" t="s">
        <v>186</v>
      </c>
      <c r="D860" s="74" t="s">
        <v>341</v>
      </c>
      <c r="E860" s="74" t="s">
        <v>179</v>
      </c>
      <c r="F860" s="75" t="s">
        <v>140</v>
      </c>
      <c r="G860" s="76">
        <f t="shared" si="151"/>
        <v>0</v>
      </c>
      <c r="H860" s="98">
        <f t="shared" si="151"/>
        <v>0</v>
      </c>
      <c r="I860" s="98">
        <f t="shared" si="151"/>
        <v>0</v>
      </c>
      <c r="J860" s="76">
        <f t="shared" si="151"/>
        <v>0</v>
      </c>
      <c r="K860" s="166">
        <f t="shared" si="151"/>
        <v>0</v>
      </c>
      <c r="L860" s="189"/>
      <c r="M860" s="59"/>
      <c r="N860" s="65"/>
      <c r="O860" s="65"/>
      <c r="P860" s="374"/>
      <c r="Q860" s="375"/>
    </row>
    <row r="861" spans="1:17" ht="13.5" hidden="1" thickBot="1">
      <c r="A861" s="310"/>
      <c r="B861" s="35"/>
      <c r="C861" s="60"/>
      <c r="D861" s="60"/>
      <c r="E861" s="60"/>
      <c r="F861" s="62" t="s">
        <v>148</v>
      </c>
      <c r="G861" s="70"/>
      <c r="H861" s="63"/>
      <c r="I861" s="63"/>
      <c r="J861" s="70"/>
      <c r="K861" s="177"/>
      <c r="L861" s="189"/>
      <c r="M861" s="59"/>
      <c r="N861" s="65"/>
      <c r="O861" s="65"/>
      <c r="P861" s="374"/>
      <c r="Q861" s="375"/>
    </row>
    <row r="862" spans="1:17" ht="13.5" hidden="1" thickBot="1">
      <c r="A862" s="310"/>
      <c r="B862" s="35"/>
      <c r="C862" s="60"/>
      <c r="D862" s="60"/>
      <c r="E862" s="60"/>
      <c r="F862" s="62" t="s">
        <v>312</v>
      </c>
      <c r="G862" s="137"/>
      <c r="H862" s="100"/>
      <c r="I862" s="100"/>
      <c r="J862" s="137"/>
      <c r="K862" s="163"/>
      <c r="L862" s="189"/>
      <c r="M862" s="59"/>
      <c r="N862" s="65"/>
      <c r="O862" s="65"/>
      <c r="P862" s="374"/>
      <c r="Q862" s="375"/>
    </row>
    <row r="863" spans="1:17" ht="16.5" customHeight="1">
      <c r="A863" s="269" t="s">
        <v>402</v>
      </c>
      <c r="B863" s="245" t="s">
        <v>226</v>
      </c>
      <c r="C863" s="246" t="s">
        <v>186</v>
      </c>
      <c r="D863" s="246" t="s">
        <v>341</v>
      </c>
      <c r="E863" s="44" t="s">
        <v>219</v>
      </c>
      <c r="F863" s="247"/>
      <c r="G863" s="131" t="e">
        <f>G876+#REF!+G885+#REF!+#REF!+#REF!+#REF!+#REF!+#REF!</f>
        <v>#REF!</v>
      </c>
      <c r="H863" s="131" t="e">
        <f>H876+#REF!+H885+#REF!+#REF!+#REF!+#REF!+#REF!+#REF!</f>
        <v>#REF!</v>
      </c>
      <c r="I863" s="131" t="e">
        <f>I876+#REF!+I885+#REF!+#REF!+#REF!+#REF!+#REF!+#REF!</f>
        <v>#REF!</v>
      </c>
      <c r="J863" s="131" t="e">
        <f>J876+#REF!+J885+#REF!+#REF!+#REF!+#REF!+#REF!+#REF!</f>
        <v>#REF!</v>
      </c>
      <c r="K863" s="172" t="e">
        <f>K876+#REF!+K885+#REF!+#REF!+#REF!+#REF!+#REF!+#REF!</f>
        <v>#REF!</v>
      </c>
      <c r="L863" s="172" t="e">
        <f>L876+#REF!+L885+#REF!+#REF!+#REF!+#REF!+#REF!+#REF!</f>
        <v>#REF!</v>
      </c>
      <c r="M863" s="172" t="e">
        <f>M876+#REF!+M885+#REF!+#REF!+#REF!+#REF!+#REF!+#REF!</f>
        <v>#REF!</v>
      </c>
      <c r="N863" s="172">
        <f>N867+N869+N871+N873+N875</f>
        <v>0</v>
      </c>
      <c r="O863" s="131">
        <f>O867+O869+O871+O873+O875</f>
        <v>10136.630000000001</v>
      </c>
      <c r="P863" s="368">
        <f>P864+P875</f>
        <v>12581.84</v>
      </c>
      <c r="Q863" s="407">
        <f>Q864+Q875</f>
        <v>12936.18</v>
      </c>
    </row>
    <row r="864" spans="1:17" ht="14.25">
      <c r="A864" s="272" t="s">
        <v>442</v>
      </c>
      <c r="B864" s="26" t="s">
        <v>226</v>
      </c>
      <c r="C864" s="27" t="s">
        <v>186</v>
      </c>
      <c r="D864" s="27" t="s">
        <v>341</v>
      </c>
      <c r="E864" s="27" t="s">
        <v>346</v>
      </c>
      <c r="F864" s="215"/>
      <c r="G864" s="64" t="e">
        <f>G876+#REF!+G885+#REF!+#REF!+#REF!+#REF!+#REF!+#REF!+#REF!</f>
        <v>#REF!</v>
      </c>
      <c r="H864" s="37" t="e">
        <f>H876+#REF!+H885+#REF!+#REF!+#REF!+#REF!+#REF!+#REF!+#REF!</f>
        <v>#REF!</v>
      </c>
      <c r="I864" s="37" t="e">
        <f>I876+#REF!+I885+#REF!+#REF!+#REF!+#REF!+#REF!+#REF!+#REF!</f>
        <v>#REF!</v>
      </c>
      <c r="J864" s="64" t="e">
        <f>J876+#REF!+J885+#REF!+#REF!+#REF!+#REF!+#REF!+#REF!+#REF!</f>
        <v>#REF!</v>
      </c>
      <c r="K864" s="176" t="e">
        <f>K876+#REF!+K885+#REF!+#REF!+#REF!+#REF!+#REF!+#REF!+#REF!</f>
        <v>#REF!</v>
      </c>
      <c r="L864" s="221"/>
      <c r="M864" s="37"/>
      <c r="N864" s="64"/>
      <c r="O864" s="64"/>
      <c r="P864" s="380">
        <f>P867+P869+P871+P873</f>
        <v>6681.84</v>
      </c>
      <c r="Q864" s="408">
        <f>Q867+Q869+Q871+Q873</f>
        <v>7086.18</v>
      </c>
    </row>
    <row r="865" spans="1:17" ht="15" hidden="1" thickBot="1">
      <c r="A865" s="291" t="s">
        <v>443</v>
      </c>
      <c r="B865" s="123" t="s">
        <v>226</v>
      </c>
      <c r="C865" s="124" t="s">
        <v>186</v>
      </c>
      <c r="D865" s="124" t="s">
        <v>135</v>
      </c>
      <c r="E865" s="30" t="s">
        <v>444</v>
      </c>
      <c r="F865" s="126"/>
      <c r="G865" s="71" t="e">
        <f>G866+#REF!+#REF!+#REF!</f>
        <v>#REF!</v>
      </c>
      <c r="H865" s="52" t="e">
        <f>H866+#REF!+#REF!+#REF!</f>
        <v>#REF!</v>
      </c>
      <c r="I865" s="52" t="e">
        <f>I866+#REF!+#REF!+#REF!</f>
        <v>#REF!</v>
      </c>
      <c r="J865" s="71" t="e">
        <f>J866+#REF!+#REF!+#REF!</f>
        <v>#REF!</v>
      </c>
      <c r="K865" s="173" t="e">
        <f>K866+#REF!+#REF!+#REF!</f>
        <v>#REF!</v>
      </c>
      <c r="L865" s="187"/>
      <c r="M865" s="52"/>
      <c r="N865" s="71"/>
      <c r="O865" s="71"/>
      <c r="P865" s="370"/>
      <c r="Q865" s="371"/>
    </row>
    <row r="866" spans="1:17" ht="15" hidden="1">
      <c r="A866" s="301" t="s">
        <v>90</v>
      </c>
      <c r="B866" s="212" t="s">
        <v>226</v>
      </c>
      <c r="C866" s="213" t="s">
        <v>186</v>
      </c>
      <c r="D866" s="213" t="s">
        <v>135</v>
      </c>
      <c r="E866" s="152" t="s">
        <v>445</v>
      </c>
      <c r="F866" s="214" t="s">
        <v>83</v>
      </c>
      <c r="G866" s="134">
        <f>SUM(G876:G889)</f>
        <v>4685</v>
      </c>
      <c r="H866" s="89">
        <f>SUM(H876:H889)</f>
        <v>5435</v>
      </c>
      <c r="I866" s="89">
        <f>SUM(I876:I889)</f>
        <v>0</v>
      </c>
      <c r="J866" s="134">
        <f>SUM(J876:J889)</f>
        <v>1885</v>
      </c>
      <c r="K866" s="161">
        <f>SUM(K876:K889)</f>
        <v>4685</v>
      </c>
      <c r="L866" s="238"/>
      <c r="M866" s="89"/>
      <c r="N866" s="134"/>
      <c r="O866" s="134"/>
      <c r="P866" s="394"/>
      <c r="Q866" s="395"/>
    </row>
    <row r="867" spans="1:17" ht="16.5" customHeight="1">
      <c r="A867" s="270" t="s">
        <v>443</v>
      </c>
      <c r="B867" s="235" t="s">
        <v>226</v>
      </c>
      <c r="C867" s="236" t="s">
        <v>186</v>
      </c>
      <c r="D867" s="236" t="s">
        <v>341</v>
      </c>
      <c r="E867" s="49" t="s">
        <v>444</v>
      </c>
      <c r="F867" s="237"/>
      <c r="G867" s="71"/>
      <c r="H867" s="52"/>
      <c r="I867" s="52"/>
      <c r="J867" s="71"/>
      <c r="K867" s="173"/>
      <c r="L867" s="173"/>
      <c r="M867" s="173"/>
      <c r="N867" s="173"/>
      <c r="O867" s="71">
        <f>O868</f>
        <v>703.64</v>
      </c>
      <c r="P867" s="370">
        <f>P868</f>
        <v>727.54</v>
      </c>
      <c r="Q867" s="371">
        <f>Q868</f>
        <v>748.1</v>
      </c>
    </row>
    <row r="868" spans="1:17" ht="16.5" customHeight="1">
      <c r="A868" s="302" t="s">
        <v>90</v>
      </c>
      <c r="B868" s="232" t="s">
        <v>226</v>
      </c>
      <c r="C868" s="233" t="s">
        <v>186</v>
      </c>
      <c r="D868" s="233" t="s">
        <v>341</v>
      </c>
      <c r="E868" s="56" t="s">
        <v>445</v>
      </c>
      <c r="F868" s="234" t="s">
        <v>83</v>
      </c>
      <c r="G868" s="155"/>
      <c r="H868" s="205"/>
      <c r="I868" s="205"/>
      <c r="J868" s="155"/>
      <c r="K868" s="167"/>
      <c r="L868" s="167"/>
      <c r="M868" s="167"/>
      <c r="N868" s="167"/>
      <c r="O868" s="136">
        <v>703.64</v>
      </c>
      <c r="P868" s="398">
        <v>727.54</v>
      </c>
      <c r="Q868" s="399">
        <v>748.1</v>
      </c>
    </row>
    <row r="869" spans="1:17" ht="16.5" customHeight="1">
      <c r="A869" s="270" t="s">
        <v>446</v>
      </c>
      <c r="B869" s="235" t="s">
        <v>226</v>
      </c>
      <c r="C869" s="236" t="s">
        <v>186</v>
      </c>
      <c r="D869" s="236" t="s">
        <v>341</v>
      </c>
      <c r="E869" s="49" t="s">
        <v>447</v>
      </c>
      <c r="F869" s="237"/>
      <c r="G869" s="71"/>
      <c r="H869" s="52"/>
      <c r="I869" s="52"/>
      <c r="J869" s="71"/>
      <c r="K869" s="173"/>
      <c r="L869" s="173"/>
      <c r="M869" s="173"/>
      <c r="N869" s="173"/>
      <c r="O869" s="71">
        <f>O870</f>
        <v>3147.64</v>
      </c>
      <c r="P869" s="370">
        <f>P870</f>
        <v>5244.5</v>
      </c>
      <c r="Q869" s="371">
        <f>Q870</f>
        <v>5592.09</v>
      </c>
    </row>
    <row r="870" spans="1:17" ht="16.5" customHeight="1">
      <c r="A870" s="302" t="s">
        <v>90</v>
      </c>
      <c r="B870" s="232" t="s">
        <v>226</v>
      </c>
      <c r="C870" s="233" t="s">
        <v>186</v>
      </c>
      <c r="D870" s="233" t="s">
        <v>341</v>
      </c>
      <c r="E870" s="56" t="s">
        <v>447</v>
      </c>
      <c r="F870" s="234" t="s">
        <v>83</v>
      </c>
      <c r="G870" s="155"/>
      <c r="H870" s="205"/>
      <c r="I870" s="205"/>
      <c r="J870" s="155"/>
      <c r="K870" s="167"/>
      <c r="L870" s="167"/>
      <c r="M870" s="167"/>
      <c r="N870" s="167"/>
      <c r="O870" s="136">
        <v>3147.64</v>
      </c>
      <c r="P870" s="398">
        <v>5244.5</v>
      </c>
      <c r="Q870" s="399">
        <v>5592.09</v>
      </c>
    </row>
    <row r="871" spans="1:17" ht="16.5" customHeight="1">
      <c r="A871" s="293" t="s">
        <v>461</v>
      </c>
      <c r="B871" s="48" t="s">
        <v>226</v>
      </c>
      <c r="C871" s="49" t="s">
        <v>186</v>
      </c>
      <c r="D871" s="49" t="s">
        <v>341</v>
      </c>
      <c r="E871" s="49" t="s">
        <v>462</v>
      </c>
      <c r="F871" s="51"/>
      <c r="G871" s="71"/>
      <c r="H871" s="52"/>
      <c r="I871" s="52"/>
      <c r="J871" s="71"/>
      <c r="K871" s="173"/>
      <c r="L871" s="173"/>
      <c r="M871" s="173"/>
      <c r="N871" s="173"/>
      <c r="O871" s="71">
        <f>O872</f>
        <v>388.72</v>
      </c>
      <c r="P871" s="370">
        <f>P872</f>
        <v>408.55</v>
      </c>
      <c r="Q871" s="371">
        <f>Q872</f>
        <v>429.38</v>
      </c>
    </row>
    <row r="872" spans="1:17" ht="16.5" customHeight="1">
      <c r="A872" s="302" t="s">
        <v>90</v>
      </c>
      <c r="B872" s="232" t="s">
        <v>463</v>
      </c>
      <c r="C872" s="233" t="s">
        <v>347</v>
      </c>
      <c r="D872" s="233" t="s">
        <v>341</v>
      </c>
      <c r="E872" s="56" t="s">
        <v>462</v>
      </c>
      <c r="F872" s="234" t="s">
        <v>83</v>
      </c>
      <c r="G872" s="64"/>
      <c r="H872" s="37"/>
      <c r="I872" s="37"/>
      <c r="J872" s="64"/>
      <c r="K872" s="176"/>
      <c r="L872" s="176"/>
      <c r="M872" s="176"/>
      <c r="N872" s="176"/>
      <c r="O872" s="76">
        <v>388.72</v>
      </c>
      <c r="P872" s="382">
        <v>408.55</v>
      </c>
      <c r="Q872" s="383">
        <v>429.38</v>
      </c>
    </row>
    <row r="873" spans="1:17" ht="16.5" customHeight="1">
      <c r="A873" s="281" t="s">
        <v>450</v>
      </c>
      <c r="B873" s="66" t="s">
        <v>226</v>
      </c>
      <c r="C873" s="92" t="s">
        <v>186</v>
      </c>
      <c r="D873" s="92" t="s">
        <v>341</v>
      </c>
      <c r="E873" s="92" t="s">
        <v>451</v>
      </c>
      <c r="F873" s="94"/>
      <c r="G873" s="71"/>
      <c r="H873" s="52"/>
      <c r="I873" s="52"/>
      <c r="J873" s="71"/>
      <c r="K873" s="173"/>
      <c r="L873" s="173"/>
      <c r="M873" s="173"/>
      <c r="N873" s="173"/>
      <c r="O873" s="71">
        <f>O874</f>
        <v>286.63</v>
      </c>
      <c r="P873" s="370">
        <f>P874</f>
        <v>301.25</v>
      </c>
      <c r="Q873" s="371">
        <f>Q874</f>
        <v>316.61</v>
      </c>
    </row>
    <row r="874" spans="1:17" ht="16.5" customHeight="1">
      <c r="A874" s="301" t="s">
        <v>90</v>
      </c>
      <c r="B874" s="141" t="s">
        <v>226</v>
      </c>
      <c r="C874" s="67" t="s">
        <v>186</v>
      </c>
      <c r="D874" s="67" t="s">
        <v>341</v>
      </c>
      <c r="E874" s="67" t="s">
        <v>452</v>
      </c>
      <c r="F874" s="69" t="s">
        <v>83</v>
      </c>
      <c r="G874" s="71"/>
      <c r="H874" s="52"/>
      <c r="I874" s="52"/>
      <c r="J874" s="71"/>
      <c r="K874" s="173"/>
      <c r="L874" s="173"/>
      <c r="M874" s="173"/>
      <c r="N874" s="173"/>
      <c r="O874" s="65">
        <v>286.63</v>
      </c>
      <c r="P874" s="374">
        <v>301.25</v>
      </c>
      <c r="Q874" s="375">
        <v>316.61</v>
      </c>
    </row>
    <row r="875" spans="1:17" ht="16.5" customHeight="1">
      <c r="A875" s="307" t="s">
        <v>469</v>
      </c>
      <c r="B875" s="66" t="s">
        <v>226</v>
      </c>
      <c r="C875" s="92" t="s">
        <v>186</v>
      </c>
      <c r="D875" s="92" t="s">
        <v>341</v>
      </c>
      <c r="E875" s="92" t="s">
        <v>349</v>
      </c>
      <c r="F875" s="94"/>
      <c r="G875" s="71"/>
      <c r="H875" s="52"/>
      <c r="I875" s="52"/>
      <c r="J875" s="71"/>
      <c r="K875" s="173"/>
      <c r="L875" s="173"/>
      <c r="M875" s="173"/>
      <c r="N875" s="173">
        <f>N876+N885</f>
        <v>0</v>
      </c>
      <c r="O875" s="71">
        <f>O876+O885</f>
        <v>5610</v>
      </c>
      <c r="P875" s="370">
        <f>P876+P885</f>
        <v>5900</v>
      </c>
      <c r="Q875" s="371">
        <f>Q876+Q885</f>
        <v>5850</v>
      </c>
    </row>
    <row r="876" spans="1:17" ht="25.5">
      <c r="A876" s="270" t="s">
        <v>614</v>
      </c>
      <c r="B876" s="48" t="s">
        <v>226</v>
      </c>
      <c r="C876" s="49" t="s">
        <v>186</v>
      </c>
      <c r="D876" s="49" t="s">
        <v>341</v>
      </c>
      <c r="E876" s="49" t="s">
        <v>470</v>
      </c>
      <c r="F876" s="51"/>
      <c r="G876" s="71">
        <f>G877+G881</f>
        <v>1000</v>
      </c>
      <c r="H876" s="52">
        <f>H877+H881</f>
        <v>1000</v>
      </c>
      <c r="I876" s="52">
        <f>I877+I881</f>
        <v>0</v>
      </c>
      <c r="J876" s="71">
        <f>J877+J881</f>
        <v>0</v>
      </c>
      <c r="K876" s="173">
        <f aca="true" t="shared" si="152" ref="K876:Q876">K881</f>
        <v>1000</v>
      </c>
      <c r="L876" s="173">
        <f t="shared" si="152"/>
        <v>0</v>
      </c>
      <c r="M876" s="173">
        <f t="shared" si="152"/>
        <v>0</v>
      </c>
      <c r="N876" s="173">
        <f t="shared" si="152"/>
        <v>0</v>
      </c>
      <c r="O876" s="71">
        <f t="shared" si="152"/>
        <v>2301</v>
      </c>
      <c r="P876" s="370">
        <f t="shared" si="152"/>
        <v>2591</v>
      </c>
      <c r="Q876" s="371">
        <f t="shared" si="152"/>
        <v>2541</v>
      </c>
    </row>
    <row r="877" spans="1:17" ht="12.75" hidden="1">
      <c r="A877" s="270" t="s">
        <v>139</v>
      </c>
      <c r="B877" s="48" t="s">
        <v>226</v>
      </c>
      <c r="C877" s="53" t="s">
        <v>186</v>
      </c>
      <c r="D877" s="53" t="s">
        <v>341</v>
      </c>
      <c r="E877" s="53" t="s">
        <v>346</v>
      </c>
      <c r="F877" s="55" t="s">
        <v>140</v>
      </c>
      <c r="G877" s="65">
        <f>G878+G879+G880</f>
        <v>0</v>
      </c>
      <c r="H877" s="59">
        <f>H878+H879+H880</f>
        <v>0</v>
      </c>
      <c r="I877" s="59">
        <f>I878+I879+I880</f>
        <v>0</v>
      </c>
      <c r="J877" s="65">
        <f>J878+J879+J880</f>
        <v>0</v>
      </c>
      <c r="K877" s="164">
        <f>K878+K879+K880</f>
        <v>0</v>
      </c>
      <c r="L877" s="189"/>
      <c r="M877" s="59"/>
      <c r="N877" s="65"/>
      <c r="O877" s="65"/>
      <c r="P877" s="374"/>
      <c r="Q877" s="375"/>
    </row>
    <row r="878" spans="1:17" ht="12.75" hidden="1">
      <c r="A878" s="270"/>
      <c r="B878" s="48"/>
      <c r="C878" s="53"/>
      <c r="D878" s="53"/>
      <c r="E878" s="53"/>
      <c r="F878" s="55" t="s">
        <v>166</v>
      </c>
      <c r="G878" s="65"/>
      <c r="H878" s="59"/>
      <c r="I878" s="59"/>
      <c r="J878" s="65"/>
      <c r="K878" s="164"/>
      <c r="L878" s="189"/>
      <c r="M878" s="59"/>
      <c r="N878" s="65"/>
      <c r="O878" s="65"/>
      <c r="P878" s="374"/>
      <c r="Q878" s="375"/>
    </row>
    <row r="879" spans="1:17" ht="12.75" hidden="1">
      <c r="A879" s="270"/>
      <c r="B879" s="48"/>
      <c r="C879" s="53"/>
      <c r="D879" s="53"/>
      <c r="E879" s="53"/>
      <c r="F879" s="55" t="s">
        <v>167</v>
      </c>
      <c r="G879" s="65"/>
      <c r="H879" s="59"/>
      <c r="I879" s="59"/>
      <c r="J879" s="65"/>
      <c r="K879" s="164"/>
      <c r="L879" s="189"/>
      <c r="M879" s="59"/>
      <c r="N879" s="65"/>
      <c r="O879" s="65"/>
      <c r="P879" s="374"/>
      <c r="Q879" s="375"/>
    </row>
    <row r="880" spans="1:17" ht="12.75" hidden="1">
      <c r="A880" s="270"/>
      <c r="B880" s="48"/>
      <c r="C880" s="53"/>
      <c r="D880" s="53"/>
      <c r="E880" s="53"/>
      <c r="F880" s="55" t="s">
        <v>170</v>
      </c>
      <c r="G880" s="65"/>
      <c r="H880" s="59"/>
      <c r="I880" s="59"/>
      <c r="J880" s="65"/>
      <c r="K880" s="164"/>
      <c r="L880" s="189"/>
      <c r="M880" s="59"/>
      <c r="N880" s="65"/>
      <c r="O880" s="65"/>
      <c r="P880" s="374"/>
      <c r="Q880" s="375"/>
    </row>
    <row r="881" spans="1:17" ht="16.5" customHeight="1">
      <c r="A881" s="301" t="s">
        <v>90</v>
      </c>
      <c r="B881" s="99" t="s">
        <v>226</v>
      </c>
      <c r="C881" s="53" t="s">
        <v>347</v>
      </c>
      <c r="D881" s="53" t="s">
        <v>341</v>
      </c>
      <c r="E881" s="53" t="s">
        <v>470</v>
      </c>
      <c r="F881" s="55" t="s">
        <v>83</v>
      </c>
      <c r="G881" s="65">
        <f>G882+G883</f>
        <v>1000</v>
      </c>
      <c r="H881" s="59">
        <f>H882+H883</f>
        <v>1000</v>
      </c>
      <c r="I881" s="59">
        <f>I882+I883</f>
        <v>0</v>
      </c>
      <c r="J881" s="65"/>
      <c r="K881" s="164">
        <v>1000</v>
      </c>
      <c r="L881" s="189"/>
      <c r="M881" s="59"/>
      <c r="N881" s="65"/>
      <c r="O881" s="65">
        <v>2301</v>
      </c>
      <c r="P881" s="374">
        <v>2591</v>
      </c>
      <c r="Q881" s="375">
        <v>2541</v>
      </c>
    </row>
    <row r="882" spans="1:17" ht="12.75" hidden="1">
      <c r="A882" s="270"/>
      <c r="B882" s="48"/>
      <c r="C882" s="53"/>
      <c r="D882" s="53"/>
      <c r="E882" s="53"/>
      <c r="F882" s="55" t="s">
        <v>166</v>
      </c>
      <c r="G882" s="65">
        <v>1000</v>
      </c>
      <c r="H882" s="59">
        <v>1000</v>
      </c>
      <c r="I882" s="59"/>
      <c r="J882" s="65">
        <v>1000</v>
      </c>
      <c r="K882" s="164">
        <v>1000</v>
      </c>
      <c r="L882" s="189"/>
      <c r="M882" s="59"/>
      <c r="N882" s="65"/>
      <c r="O882" s="65"/>
      <c r="P882" s="374"/>
      <c r="Q882" s="375"/>
    </row>
    <row r="883" spans="1:17" ht="12.75" hidden="1">
      <c r="A883" s="270"/>
      <c r="B883" s="48"/>
      <c r="C883" s="53"/>
      <c r="D883" s="53"/>
      <c r="E883" s="53"/>
      <c r="F883" s="55" t="s">
        <v>167</v>
      </c>
      <c r="G883" s="65"/>
      <c r="H883" s="59"/>
      <c r="I883" s="59"/>
      <c r="J883" s="65"/>
      <c r="K883" s="164"/>
      <c r="L883" s="189"/>
      <c r="M883" s="59"/>
      <c r="N883" s="65"/>
      <c r="O883" s="65"/>
      <c r="P883" s="374"/>
      <c r="Q883" s="375"/>
    </row>
    <row r="884" spans="1:17" ht="16.5" customHeight="1" hidden="1">
      <c r="A884" s="270"/>
      <c r="B884" s="48"/>
      <c r="C884" s="53"/>
      <c r="D884" s="53"/>
      <c r="E884" s="53"/>
      <c r="F884" s="55" t="s">
        <v>167</v>
      </c>
      <c r="G884" s="65">
        <v>485</v>
      </c>
      <c r="H884" s="59">
        <v>485</v>
      </c>
      <c r="I884" s="59"/>
      <c r="J884" s="65">
        <v>485</v>
      </c>
      <c r="K884" s="164">
        <v>485</v>
      </c>
      <c r="L884" s="189"/>
      <c r="M884" s="59"/>
      <c r="N884" s="65"/>
      <c r="O884" s="65"/>
      <c r="P884" s="374"/>
      <c r="Q884" s="375"/>
    </row>
    <row r="885" spans="1:17" ht="25.5">
      <c r="A885" s="270" t="s">
        <v>615</v>
      </c>
      <c r="B885" s="48" t="s">
        <v>226</v>
      </c>
      <c r="C885" s="49" t="s">
        <v>186</v>
      </c>
      <c r="D885" s="49" t="s">
        <v>341</v>
      </c>
      <c r="E885" s="49" t="s">
        <v>471</v>
      </c>
      <c r="F885" s="51"/>
      <c r="G885" s="71">
        <f>G886+G888</f>
        <v>400</v>
      </c>
      <c r="H885" s="52">
        <f>H886+H888</f>
        <v>650</v>
      </c>
      <c r="I885" s="52">
        <f>I886+I888</f>
        <v>0</v>
      </c>
      <c r="J885" s="71">
        <f>J886+J888</f>
        <v>0</v>
      </c>
      <c r="K885" s="173">
        <f aca="true" t="shared" si="153" ref="K885:Q885">K886</f>
        <v>400</v>
      </c>
      <c r="L885" s="173">
        <f t="shared" si="153"/>
        <v>-200</v>
      </c>
      <c r="M885" s="173">
        <f t="shared" si="153"/>
        <v>0</v>
      </c>
      <c r="N885" s="173">
        <f t="shared" si="153"/>
        <v>0</v>
      </c>
      <c r="O885" s="71">
        <f t="shared" si="153"/>
        <v>3309</v>
      </c>
      <c r="P885" s="370">
        <f t="shared" si="153"/>
        <v>3309</v>
      </c>
      <c r="Q885" s="371">
        <f t="shared" si="153"/>
        <v>3309</v>
      </c>
    </row>
    <row r="886" spans="1:17" ht="16.5" customHeight="1" thickBot="1">
      <c r="A886" s="301" t="s">
        <v>90</v>
      </c>
      <c r="B886" s="99" t="s">
        <v>226</v>
      </c>
      <c r="C886" s="53" t="s">
        <v>186</v>
      </c>
      <c r="D886" s="53" t="s">
        <v>341</v>
      </c>
      <c r="E886" s="53" t="s">
        <v>472</v>
      </c>
      <c r="F886" s="55" t="s">
        <v>83</v>
      </c>
      <c r="G886" s="65">
        <f>G887</f>
        <v>400</v>
      </c>
      <c r="H886" s="59">
        <f>H887</f>
        <v>650</v>
      </c>
      <c r="I886" s="59">
        <f>I887</f>
        <v>0</v>
      </c>
      <c r="J886" s="65"/>
      <c r="K886" s="164">
        <v>400</v>
      </c>
      <c r="L886" s="189">
        <v>-200</v>
      </c>
      <c r="M886" s="59"/>
      <c r="N886" s="65"/>
      <c r="O886" s="65">
        <v>3309</v>
      </c>
      <c r="P886" s="374">
        <v>3309</v>
      </c>
      <c r="Q886" s="375">
        <v>3309</v>
      </c>
    </row>
    <row r="887" spans="1:17" ht="12.75" hidden="1">
      <c r="A887" s="270"/>
      <c r="B887" s="48"/>
      <c r="C887" s="53"/>
      <c r="D887" s="53"/>
      <c r="E887" s="53"/>
      <c r="F887" s="55" t="s">
        <v>166</v>
      </c>
      <c r="G887" s="65">
        <v>400</v>
      </c>
      <c r="H887" s="59">
        <v>650</v>
      </c>
      <c r="I887" s="59"/>
      <c r="J887" s="65">
        <v>400</v>
      </c>
      <c r="K887" s="164">
        <v>400</v>
      </c>
      <c r="L887" s="189"/>
      <c r="M887" s="59"/>
      <c r="N887" s="65"/>
      <c r="O887" s="65"/>
      <c r="P887" s="374"/>
      <c r="Q887" s="375"/>
    </row>
    <row r="888" spans="1:17" ht="12.75" hidden="1">
      <c r="A888" s="270" t="s">
        <v>321</v>
      </c>
      <c r="B888" s="48" t="s">
        <v>226</v>
      </c>
      <c r="C888" s="53" t="s">
        <v>186</v>
      </c>
      <c r="D888" s="53" t="s">
        <v>341</v>
      </c>
      <c r="E888" s="53" t="s">
        <v>348</v>
      </c>
      <c r="F888" s="55" t="s">
        <v>322</v>
      </c>
      <c r="G888" s="65">
        <f>G889</f>
        <v>0</v>
      </c>
      <c r="H888" s="59">
        <f>H889</f>
        <v>0</v>
      </c>
      <c r="I888" s="59">
        <f>I889</f>
        <v>0</v>
      </c>
      <c r="J888" s="65">
        <f>J889</f>
        <v>0</v>
      </c>
      <c r="K888" s="164">
        <f>K889</f>
        <v>0</v>
      </c>
      <c r="L888" s="189"/>
      <c r="M888" s="59"/>
      <c r="N888" s="65"/>
      <c r="O888" s="65"/>
      <c r="P888" s="374"/>
      <c r="Q888" s="375"/>
    </row>
    <row r="889" spans="1:17" ht="12.75" hidden="1">
      <c r="A889" s="270"/>
      <c r="B889" s="48"/>
      <c r="C889" s="53"/>
      <c r="D889" s="53"/>
      <c r="E889" s="53"/>
      <c r="F889" s="55" t="s">
        <v>166</v>
      </c>
      <c r="G889" s="65"/>
      <c r="H889" s="59"/>
      <c r="I889" s="59"/>
      <c r="J889" s="65"/>
      <c r="K889" s="164"/>
      <c r="L889" s="189"/>
      <c r="M889" s="59"/>
      <c r="N889" s="65"/>
      <c r="O889" s="65"/>
      <c r="P889" s="374"/>
      <c r="Q889" s="375"/>
    </row>
    <row r="890" spans="1:17" s="1" customFormat="1" ht="18.75" customHeight="1" thickBot="1">
      <c r="A890" s="267" t="s">
        <v>111</v>
      </c>
      <c r="B890" s="118" t="s">
        <v>265</v>
      </c>
      <c r="C890" s="119" t="s">
        <v>353</v>
      </c>
      <c r="D890" s="119" t="s">
        <v>131</v>
      </c>
      <c r="E890" s="119"/>
      <c r="F890" s="121"/>
      <c r="G890" s="129" t="e">
        <f>G891+#REF!</f>
        <v>#REF!</v>
      </c>
      <c r="H890" s="122" t="e">
        <f>H891+#REF!</f>
        <v>#REF!</v>
      </c>
      <c r="I890" s="122" t="e">
        <f>I891+#REF!</f>
        <v>#REF!</v>
      </c>
      <c r="J890" s="129" t="e">
        <f>J891+#REF!</f>
        <v>#REF!</v>
      </c>
      <c r="K890" s="170" t="e">
        <f>K891+K939</f>
        <v>#REF!</v>
      </c>
      <c r="L890" s="170" t="e">
        <f>L891+L939</f>
        <v>#REF!</v>
      </c>
      <c r="M890" s="170" t="e">
        <f>M891+M939</f>
        <v>#REF!</v>
      </c>
      <c r="N890" s="170">
        <f>N891+N939</f>
        <v>0</v>
      </c>
      <c r="O890" s="129">
        <f>O891+O938</f>
        <v>29630</v>
      </c>
      <c r="P890" s="364">
        <f>P891+P938</f>
        <v>29413.499999999996</v>
      </c>
      <c r="Q890" s="365">
        <f>Q891+Q938</f>
        <v>34790.4</v>
      </c>
    </row>
    <row r="891" spans="1:17" s="1" customFormat="1" ht="16.5" customHeight="1" thickBot="1">
      <c r="A891" s="268" t="s">
        <v>354</v>
      </c>
      <c r="B891" s="16" t="s">
        <v>265</v>
      </c>
      <c r="C891" s="17" t="s">
        <v>353</v>
      </c>
      <c r="D891" s="17" t="s">
        <v>130</v>
      </c>
      <c r="E891" s="17"/>
      <c r="F891" s="19"/>
      <c r="G891" s="130" t="e">
        <f>G892+G906+#REF!+G911+#REF!+#REF!+#REF!+#REF!+#REF!+G934</f>
        <v>#REF!</v>
      </c>
      <c r="H891" s="130" t="e">
        <f>H892+H906+#REF!+H911+#REF!+#REF!+#REF!+#REF!+#REF!+H934</f>
        <v>#REF!</v>
      </c>
      <c r="I891" s="130" t="e">
        <f>I892+I906+#REF!+I911+#REF!+#REF!+#REF!+#REF!+#REF!+I934</f>
        <v>#REF!</v>
      </c>
      <c r="J891" s="130" t="e">
        <f>J892+J906+#REF!+J911+#REF!+#REF!+#REF!+#REF!+#REF!+J934</f>
        <v>#REF!</v>
      </c>
      <c r="K891" s="171" t="e">
        <f>K892+K906+#REF!+K911+#REF!+#REF!+#REF!+#REF!+#REF!+K934</f>
        <v>#REF!</v>
      </c>
      <c r="L891" s="171" t="e">
        <f>L892+L906+#REF!+L911+#REF!+#REF!+#REF!+#REF!+#REF!+L934</f>
        <v>#REF!</v>
      </c>
      <c r="M891" s="171" t="e">
        <f>M892+M906+#REF!+M911+#REF!+#REF!+#REF!+#REF!+#REF!+M934</f>
        <v>#REF!</v>
      </c>
      <c r="N891" s="171">
        <f>N892+N898+N903+N906+N911+N915+N934</f>
        <v>0</v>
      </c>
      <c r="O891" s="130">
        <f>O892+O897+O906+O911+O914+O934</f>
        <v>20681.2</v>
      </c>
      <c r="P891" s="366">
        <f>P892+P897+P906+P911+P914+P934</f>
        <v>20464.699999999997</v>
      </c>
      <c r="Q891" s="367">
        <f>Q892+Q897+Q906+Q911+Q914+Q934</f>
        <v>25841.600000000002</v>
      </c>
    </row>
    <row r="892" spans="1:17" s="1" customFormat="1" ht="18" customHeight="1">
      <c r="A892" s="291" t="s">
        <v>116</v>
      </c>
      <c r="B892" s="29" t="s">
        <v>265</v>
      </c>
      <c r="C892" s="30" t="s">
        <v>353</v>
      </c>
      <c r="D892" s="30" t="s">
        <v>130</v>
      </c>
      <c r="E892" s="30" t="s">
        <v>355</v>
      </c>
      <c r="F892" s="32"/>
      <c r="G892" s="138" t="e">
        <f aca="true" t="shared" si="154" ref="G892:Q892">G893</f>
        <v>#REF!</v>
      </c>
      <c r="H892" s="138" t="e">
        <f t="shared" si="154"/>
        <v>#REF!</v>
      </c>
      <c r="I892" s="138" t="e">
        <f t="shared" si="154"/>
        <v>#REF!</v>
      </c>
      <c r="J892" s="138" t="e">
        <f t="shared" si="154"/>
        <v>#REF!</v>
      </c>
      <c r="K892" s="183" t="e">
        <f t="shared" si="154"/>
        <v>#REF!</v>
      </c>
      <c r="L892" s="183" t="e">
        <f t="shared" si="154"/>
        <v>#REF!</v>
      </c>
      <c r="M892" s="183" t="e">
        <f t="shared" si="154"/>
        <v>#REF!</v>
      </c>
      <c r="N892" s="183">
        <f t="shared" si="154"/>
        <v>0</v>
      </c>
      <c r="O892" s="138">
        <f t="shared" si="154"/>
        <v>50</v>
      </c>
      <c r="P892" s="404">
        <f t="shared" si="154"/>
        <v>50</v>
      </c>
      <c r="Q892" s="405">
        <f t="shared" si="154"/>
        <v>50</v>
      </c>
    </row>
    <row r="893" spans="1:17" ht="27" customHeight="1">
      <c r="A893" s="270" t="s">
        <v>619</v>
      </c>
      <c r="B893" s="48" t="s">
        <v>265</v>
      </c>
      <c r="C893" s="49" t="s">
        <v>353</v>
      </c>
      <c r="D893" s="49" t="s">
        <v>130</v>
      </c>
      <c r="E893" s="49" t="s">
        <v>620</v>
      </c>
      <c r="F893" s="51"/>
      <c r="G893" s="71" t="e">
        <f aca="true" t="shared" si="155" ref="G893:M893">G896+G898</f>
        <v>#REF!</v>
      </c>
      <c r="H893" s="71" t="e">
        <f t="shared" si="155"/>
        <v>#REF!</v>
      </c>
      <c r="I893" s="71" t="e">
        <f t="shared" si="155"/>
        <v>#REF!</v>
      </c>
      <c r="J893" s="71" t="e">
        <f t="shared" si="155"/>
        <v>#REF!</v>
      </c>
      <c r="K893" s="173" t="e">
        <f t="shared" si="155"/>
        <v>#REF!</v>
      </c>
      <c r="L893" s="173" t="e">
        <f t="shared" si="155"/>
        <v>#REF!</v>
      </c>
      <c r="M893" s="173" t="e">
        <f t="shared" si="155"/>
        <v>#REF!</v>
      </c>
      <c r="N893" s="173">
        <f>N896</f>
        <v>0</v>
      </c>
      <c r="O893" s="71">
        <f>O896</f>
        <v>50</v>
      </c>
      <c r="P893" s="370">
        <f>P896</f>
        <v>50</v>
      </c>
      <c r="Q893" s="371">
        <f>Q896</f>
        <v>50</v>
      </c>
    </row>
    <row r="894" spans="1:17" ht="12.75" customHeight="1" hidden="1">
      <c r="A894" s="283" t="s">
        <v>360</v>
      </c>
      <c r="B894" s="73" t="s">
        <v>265</v>
      </c>
      <c r="C894" s="74" t="s">
        <v>353</v>
      </c>
      <c r="D894" s="74" t="s">
        <v>130</v>
      </c>
      <c r="E894" s="74" t="s">
        <v>621</v>
      </c>
      <c r="F894" s="75" t="s">
        <v>622</v>
      </c>
      <c r="G894" s="76">
        <f>G895</f>
        <v>0</v>
      </c>
      <c r="H894" s="98">
        <f>H895</f>
        <v>0</v>
      </c>
      <c r="I894" s="98">
        <f>I895</f>
        <v>0</v>
      </c>
      <c r="J894" s="76">
        <f>J895</f>
        <v>0</v>
      </c>
      <c r="K894" s="166">
        <f>K895</f>
        <v>0</v>
      </c>
      <c r="L894" s="189"/>
      <c r="M894" s="59"/>
      <c r="N894" s="65"/>
      <c r="O894" s="65"/>
      <c r="P894" s="374"/>
      <c r="Q894" s="375"/>
    </row>
    <row r="895" spans="1:17" ht="12.75" hidden="1">
      <c r="A895" s="272"/>
      <c r="B895" s="26"/>
      <c r="C895" s="56"/>
      <c r="D895" s="56"/>
      <c r="E895" s="56"/>
      <c r="F895" s="58" t="s">
        <v>168</v>
      </c>
      <c r="G895" s="65"/>
      <c r="H895" s="59"/>
      <c r="I895" s="59"/>
      <c r="J895" s="65"/>
      <c r="K895" s="164"/>
      <c r="L895" s="189"/>
      <c r="M895" s="59"/>
      <c r="N895" s="65"/>
      <c r="O895" s="65"/>
      <c r="P895" s="374"/>
      <c r="Q895" s="375"/>
    </row>
    <row r="896" spans="1:17" ht="16.5" customHeight="1" thickBot="1">
      <c r="A896" s="308" t="s">
        <v>360</v>
      </c>
      <c r="B896" s="139" t="s">
        <v>265</v>
      </c>
      <c r="C896" s="87" t="s">
        <v>353</v>
      </c>
      <c r="D896" s="87" t="s">
        <v>130</v>
      </c>
      <c r="E896" s="87" t="s">
        <v>621</v>
      </c>
      <c r="F896" s="88" t="s">
        <v>622</v>
      </c>
      <c r="G896" s="70" t="e">
        <f>G899+G900+G901+G902+G903+G904+G905+#REF!+#REF!+#REF!+#REF!</f>
        <v>#REF!</v>
      </c>
      <c r="H896" s="70" t="e">
        <f>H899+H900+H901+H902+H903+H904+H905+#REF!+#REF!+#REF!+#REF!</f>
        <v>#REF!</v>
      </c>
      <c r="I896" s="70" t="e">
        <f>I899+I900+I901+I902+I903+I904+I905+#REF!+#REF!+#REF!+#REF!</f>
        <v>#REF!</v>
      </c>
      <c r="J896" s="70" t="e">
        <f>J899+J900+J901+J902+J903+J904+J905+#REF!+#REF!+#REF!+#REF!</f>
        <v>#REF!</v>
      </c>
      <c r="K896" s="177" t="e">
        <f>K899+K900+K901+K902+K903+K904+K905+#REF!+#REF!+#REF!+#REF!+#REF!</f>
        <v>#REF!</v>
      </c>
      <c r="L896" s="177" t="e">
        <f>L899+L900+L901+L902+L903+L904+L905+#REF!+#REF!+#REF!+#REF!+#REF!</f>
        <v>#REF!</v>
      </c>
      <c r="M896" s="177" t="e">
        <f>M899+M900+M901+M902+M903+M904+M905+#REF!+#REF!+#REF!+#REF!+#REF!</f>
        <v>#REF!</v>
      </c>
      <c r="N896" s="177"/>
      <c r="O896" s="70">
        <v>50</v>
      </c>
      <c r="P896" s="376">
        <v>50</v>
      </c>
      <c r="Q896" s="377">
        <v>50</v>
      </c>
    </row>
    <row r="897" spans="1:17" ht="16.5" customHeight="1">
      <c r="A897" s="275" t="s">
        <v>402</v>
      </c>
      <c r="B897" s="73" t="s">
        <v>265</v>
      </c>
      <c r="C897" s="81" t="s">
        <v>353</v>
      </c>
      <c r="D897" s="81" t="s">
        <v>130</v>
      </c>
      <c r="E897" s="81" t="s">
        <v>219</v>
      </c>
      <c r="F897" s="77"/>
      <c r="G897" s="136"/>
      <c r="H897" s="97"/>
      <c r="I897" s="97"/>
      <c r="J897" s="136"/>
      <c r="K897" s="111"/>
      <c r="L897" s="199"/>
      <c r="M897" s="98"/>
      <c r="N897" s="76"/>
      <c r="O897" s="64">
        <f>O898+O903</f>
        <v>15406.3</v>
      </c>
      <c r="P897" s="380">
        <f>P898+P903</f>
        <v>17423.399999999998</v>
      </c>
      <c r="Q897" s="381">
        <f>Q898+Q903</f>
        <v>22090.600000000002</v>
      </c>
    </row>
    <row r="898" spans="1:17" ht="16.5" customHeight="1">
      <c r="A898" s="275" t="s">
        <v>489</v>
      </c>
      <c r="B898" s="73" t="s">
        <v>265</v>
      </c>
      <c r="C898" s="81" t="s">
        <v>353</v>
      </c>
      <c r="D898" s="81" t="s">
        <v>130</v>
      </c>
      <c r="E898" s="81" t="s">
        <v>42</v>
      </c>
      <c r="F898" s="77"/>
      <c r="G898" s="136"/>
      <c r="H898" s="97"/>
      <c r="I898" s="97"/>
      <c r="J898" s="136"/>
      <c r="K898" s="111"/>
      <c r="L898" s="199"/>
      <c r="M898" s="98"/>
      <c r="N898" s="76"/>
      <c r="O898" s="64">
        <f aca="true" t="shared" si="156" ref="O898:Q899">O899</f>
        <v>15116.3</v>
      </c>
      <c r="P898" s="380">
        <f t="shared" si="156"/>
        <v>17231.399999999998</v>
      </c>
      <c r="Q898" s="381">
        <f t="shared" si="156"/>
        <v>21950.600000000002</v>
      </c>
    </row>
    <row r="899" spans="1:17" ht="25.5" hidden="1">
      <c r="A899" s="275" t="s">
        <v>491</v>
      </c>
      <c r="B899" s="73" t="s">
        <v>265</v>
      </c>
      <c r="C899" s="81" t="s">
        <v>353</v>
      </c>
      <c r="D899" s="81" t="s">
        <v>130</v>
      </c>
      <c r="E899" s="81" t="s">
        <v>492</v>
      </c>
      <c r="F899" s="77"/>
      <c r="G899" s="72"/>
      <c r="H899" s="80"/>
      <c r="I899" s="80"/>
      <c r="J899" s="72"/>
      <c r="K899" s="162"/>
      <c r="L899" s="189"/>
      <c r="M899" s="59"/>
      <c r="N899" s="65"/>
      <c r="O899" s="71">
        <f t="shared" si="156"/>
        <v>15116.3</v>
      </c>
      <c r="P899" s="370">
        <f t="shared" si="156"/>
        <v>17231.399999999998</v>
      </c>
      <c r="Q899" s="371">
        <f t="shared" si="156"/>
        <v>21950.600000000002</v>
      </c>
    </row>
    <row r="900" spans="1:17" ht="27" customHeight="1">
      <c r="A900" s="270" t="s">
        <v>504</v>
      </c>
      <c r="B900" s="73" t="s">
        <v>265</v>
      </c>
      <c r="C900" s="81" t="s">
        <v>353</v>
      </c>
      <c r="D900" s="81" t="s">
        <v>130</v>
      </c>
      <c r="E900" s="81" t="s">
        <v>505</v>
      </c>
      <c r="F900" s="55"/>
      <c r="G900" s="65"/>
      <c r="H900" s="59"/>
      <c r="I900" s="59"/>
      <c r="J900" s="65"/>
      <c r="K900" s="162"/>
      <c r="L900" s="189"/>
      <c r="M900" s="59"/>
      <c r="N900" s="65"/>
      <c r="O900" s="71">
        <f>O901+O902</f>
        <v>15116.3</v>
      </c>
      <c r="P900" s="370">
        <f>P901+P902</f>
        <v>17231.399999999998</v>
      </c>
      <c r="Q900" s="371">
        <f>Q901+Q902</f>
        <v>21950.600000000002</v>
      </c>
    </row>
    <row r="901" spans="1:17" ht="16.5" customHeight="1">
      <c r="A901" s="301" t="s">
        <v>90</v>
      </c>
      <c r="B901" s="105" t="s">
        <v>265</v>
      </c>
      <c r="C901" s="74" t="s">
        <v>353</v>
      </c>
      <c r="D901" s="74" t="s">
        <v>130</v>
      </c>
      <c r="E901" s="74" t="s">
        <v>505</v>
      </c>
      <c r="F901" s="58" t="s">
        <v>83</v>
      </c>
      <c r="G901" s="136"/>
      <c r="H901" s="97"/>
      <c r="I901" s="97"/>
      <c r="J901" s="136"/>
      <c r="K901" s="162"/>
      <c r="L901" s="189"/>
      <c r="M901" s="59"/>
      <c r="N901" s="65"/>
      <c r="O901" s="65">
        <v>500.8</v>
      </c>
      <c r="P901" s="374">
        <v>526.3</v>
      </c>
      <c r="Q901" s="375">
        <v>533.2</v>
      </c>
    </row>
    <row r="902" spans="1:17" ht="16.5" customHeight="1">
      <c r="A902" s="301" t="s">
        <v>90</v>
      </c>
      <c r="B902" s="105" t="s">
        <v>265</v>
      </c>
      <c r="C902" s="74" t="s">
        <v>353</v>
      </c>
      <c r="D902" s="74" t="s">
        <v>130</v>
      </c>
      <c r="E902" s="74" t="s">
        <v>505</v>
      </c>
      <c r="F902" s="55" t="s">
        <v>83</v>
      </c>
      <c r="G902" s="65"/>
      <c r="H902" s="59"/>
      <c r="I902" s="59"/>
      <c r="J902" s="65"/>
      <c r="K902" s="162"/>
      <c r="L902" s="189"/>
      <c r="M902" s="59"/>
      <c r="N902" s="65"/>
      <c r="O902" s="65">
        <v>14615.5</v>
      </c>
      <c r="P902" s="374">
        <v>16705.1</v>
      </c>
      <c r="Q902" s="375">
        <v>21417.4</v>
      </c>
    </row>
    <row r="903" spans="1:17" ht="16.5" customHeight="1">
      <c r="A903" s="307" t="s">
        <v>469</v>
      </c>
      <c r="B903" s="66" t="s">
        <v>265</v>
      </c>
      <c r="C903" s="92" t="s">
        <v>353</v>
      </c>
      <c r="D903" s="92" t="s">
        <v>130</v>
      </c>
      <c r="E903" s="92" t="s">
        <v>349</v>
      </c>
      <c r="F903" s="94"/>
      <c r="G903" s="136"/>
      <c r="H903" s="97"/>
      <c r="I903" s="97"/>
      <c r="J903" s="136"/>
      <c r="K903" s="162"/>
      <c r="L903" s="189"/>
      <c r="M903" s="59"/>
      <c r="N903" s="65"/>
      <c r="O903" s="71">
        <f aca="true" t="shared" si="157" ref="O903:Q904">O904</f>
        <v>290</v>
      </c>
      <c r="P903" s="370">
        <f t="shared" si="157"/>
        <v>192</v>
      </c>
      <c r="Q903" s="371">
        <f t="shared" si="157"/>
        <v>140</v>
      </c>
    </row>
    <row r="904" spans="1:17" ht="16.5" customHeight="1">
      <c r="A904" s="270" t="s">
        <v>494</v>
      </c>
      <c r="B904" s="48" t="s">
        <v>265</v>
      </c>
      <c r="C904" s="49" t="s">
        <v>353</v>
      </c>
      <c r="D904" s="49" t="s">
        <v>130</v>
      </c>
      <c r="E904" s="49" t="s">
        <v>493</v>
      </c>
      <c r="F904" s="51"/>
      <c r="G904" s="65"/>
      <c r="H904" s="59"/>
      <c r="I904" s="59"/>
      <c r="J904" s="65"/>
      <c r="K904" s="162"/>
      <c r="L904" s="189"/>
      <c r="M904" s="59"/>
      <c r="N904" s="65"/>
      <c r="O904" s="71">
        <f t="shared" si="157"/>
        <v>290</v>
      </c>
      <c r="P904" s="370">
        <f t="shared" si="157"/>
        <v>192</v>
      </c>
      <c r="Q904" s="371">
        <f t="shared" si="157"/>
        <v>140</v>
      </c>
    </row>
    <row r="905" spans="1:17" ht="16.5" customHeight="1" thickBot="1">
      <c r="A905" s="308" t="s">
        <v>90</v>
      </c>
      <c r="B905" s="86" t="s">
        <v>265</v>
      </c>
      <c r="C905" s="87" t="s">
        <v>353</v>
      </c>
      <c r="D905" s="87" t="s">
        <v>130</v>
      </c>
      <c r="E905" s="87" t="s">
        <v>493</v>
      </c>
      <c r="F905" s="88" t="s">
        <v>83</v>
      </c>
      <c r="G905" s="70"/>
      <c r="H905" s="63"/>
      <c r="I905" s="63"/>
      <c r="J905" s="70"/>
      <c r="K905" s="177"/>
      <c r="L905" s="197"/>
      <c r="M905" s="63"/>
      <c r="N905" s="70"/>
      <c r="O905" s="70">
        <v>290</v>
      </c>
      <c r="P905" s="376">
        <v>192</v>
      </c>
      <c r="Q905" s="377">
        <v>140</v>
      </c>
    </row>
    <row r="906" spans="1:17" ht="28.5" customHeight="1">
      <c r="A906" s="275" t="s">
        <v>546</v>
      </c>
      <c r="B906" s="73" t="s">
        <v>265</v>
      </c>
      <c r="C906" s="81" t="s">
        <v>353</v>
      </c>
      <c r="D906" s="81" t="s">
        <v>130</v>
      </c>
      <c r="E906" s="81" t="s">
        <v>545</v>
      </c>
      <c r="F906" s="28"/>
      <c r="G906" s="155">
        <f aca="true" t="shared" si="158" ref="G906:J908">G910</f>
        <v>0</v>
      </c>
      <c r="H906" s="155">
        <f t="shared" si="158"/>
        <v>0</v>
      </c>
      <c r="I906" s="155">
        <f t="shared" si="158"/>
        <v>0</v>
      </c>
      <c r="J906" s="155">
        <f t="shared" si="158"/>
        <v>3000</v>
      </c>
      <c r="K906" s="167">
        <f aca="true" t="shared" si="159" ref="K906:N908">K909</f>
        <v>3000</v>
      </c>
      <c r="L906" s="167">
        <f t="shared" si="159"/>
        <v>0</v>
      </c>
      <c r="M906" s="167">
        <f t="shared" si="159"/>
        <v>0</v>
      </c>
      <c r="N906" s="167">
        <f t="shared" si="159"/>
        <v>0</v>
      </c>
      <c r="O906" s="155">
        <f>O907</f>
        <v>2000</v>
      </c>
      <c r="P906" s="396">
        <f aca="true" t="shared" si="160" ref="P906:Q908">P907</f>
        <v>0</v>
      </c>
      <c r="Q906" s="397">
        <f t="shared" si="160"/>
        <v>0</v>
      </c>
    </row>
    <row r="907" spans="1:17" ht="38.25">
      <c r="A907" s="275" t="s">
        <v>548</v>
      </c>
      <c r="B907" s="73" t="s">
        <v>265</v>
      </c>
      <c r="C907" s="81" t="s">
        <v>353</v>
      </c>
      <c r="D907" s="81" t="s">
        <v>130</v>
      </c>
      <c r="E907" s="81" t="s">
        <v>547</v>
      </c>
      <c r="F907" s="51"/>
      <c r="G907" s="71" t="e">
        <f t="shared" si="158"/>
        <v>#REF!</v>
      </c>
      <c r="H907" s="71" t="e">
        <f t="shared" si="158"/>
        <v>#REF!</v>
      </c>
      <c r="I907" s="71" t="e">
        <f t="shared" si="158"/>
        <v>#REF!</v>
      </c>
      <c r="J907" s="71" t="e">
        <f t="shared" si="158"/>
        <v>#REF!</v>
      </c>
      <c r="K907" s="173">
        <f t="shared" si="159"/>
        <v>3000</v>
      </c>
      <c r="L907" s="173">
        <f t="shared" si="159"/>
        <v>0</v>
      </c>
      <c r="M907" s="173">
        <f t="shared" si="159"/>
        <v>0</v>
      </c>
      <c r="N907" s="173">
        <f t="shared" si="159"/>
        <v>0</v>
      </c>
      <c r="O907" s="71">
        <f>O908</f>
        <v>2000</v>
      </c>
      <c r="P907" s="370">
        <f t="shared" si="160"/>
        <v>0</v>
      </c>
      <c r="Q907" s="371">
        <f t="shared" si="160"/>
        <v>0</v>
      </c>
    </row>
    <row r="908" spans="1:17" ht="25.5">
      <c r="A908" s="275" t="s">
        <v>570</v>
      </c>
      <c r="B908" s="73" t="s">
        <v>265</v>
      </c>
      <c r="C908" s="81" t="s">
        <v>353</v>
      </c>
      <c r="D908" s="81" t="s">
        <v>130</v>
      </c>
      <c r="E908" s="81" t="s">
        <v>569</v>
      </c>
      <c r="F908" s="28"/>
      <c r="G908" s="64" t="e">
        <f t="shared" si="158"/>
        <v>#REF!</v>
      </c>
      <c r="H908" s="64" t="e">
        <f t="shared" si="158"/>
        <v>#REF!</v>
      </c>
      <c r="I908" s="64" t="e">
        <f t="shared" si="158"/>
        <v>#REF!</v>
      </c>
      <c r="J908" s="64" t="e">
        <f t="shared" si="158"/>
        <v>#REF!</v>
      </c>
      <c r="K908" s="176" t="e">
        <f t="shared" si="159"/>
        <v>#REF!</v>
      </c>
      <c r="L908" s="176" t="e">
        <f t="shared" si="159"/>
        <v>#REF!</v>
      </c>
      <c r="M908" s="176" t="e">
        <f t="shared" si="159"/>
        <v>#REF!</v>
      </c>
      <c r="N908" s="176">
        <f t="shared" si="159"/>
        <v>0</v>
      </c>
      <c r="O908" s="64">
        <f>O909</f>
        <v>2000</v>
      </c>
      <c r="P908" s="380">
        <f t="shared" si="160"/>
        <v>0</v>
      </c>
      <c r="Q908" s="381">
        <f t="shared" si="160"/>
        <v>0</v>
      </c>
    </row>
    <row r="909" spans="1:17" ht="16.5" customHeight="1" thickBot="1">
      <c r="A909" s="308" t="s">
        <v>90</v>
      </c>
      <c r="B909" s="99" t="s">
        <v>265</v>
      </c>
      <c r="C909" s="53" t="s">
        <v>353</v>
      </c>
      <c r="D909" s="53" t="s">
        <v>130</v>
      </c>
      <c r="E909" s="53" t="s">
        <v>569</v>
      </c>
      <c r="F909" s="55" t="s">
        <v>83</v>
      </c>
      <c r="G909" s="65">
        <f>G910</f>
        <v>0</v>
      </c>
      <c r="H909" s="59">
        <f>H910</f>
        <v>0</v>
      </c>
      <c r="I909" s="59">
        <f>I910</f>
        <v>0</v>
      </c>
      <c r="J909" s="65">
        <f>J910</f>
        <v>3000</v>
      </c>
      <c r="K909" s="164">
        <f>K910</f>
        <v>3000</v>
      </c>
      <c r="L909" s="189"/>
      <c r="M909" s="59"/>
      <c r="N909" s="65"/>
      <c r="O909" s="65">
        <v>2000</v>
      </c>
      <c r="P909" s="374">
        <v>0</v>
      </c>
      <c r="Q909" s="375">
        <v>0</v>
      </c>
    </row>
    <row r="910" spans="1:17" ht="0.75" customHeight="1" hidden="1" thickBot="1">
      <c r="A910" s="301" t="s">
        <v>90</v>
      </c>
      <c r="B910" s="99" t="s">
        <v>265</v>
      </c>
      <c r="C910" s="53" t="s">
        <v>353</v>
      </c>
      <c r="D910" s="53" t="s">
        <v>130</v>
      </c>
      <c r="E910" s="152" t="s">
        <v>356</v>
      </c>
      <c r="F910" s="55" t="s">
        <v>83</v>
      </c>
      <c r="G910" s="65"/>
      <c r="H910" s="59"/>
      <c r="I910" s="59"/>
      <c r="J910" s="65">
        <v>3000</v>
      </c>
      <c r="K910" s="164">
        <f>G910+J910</f>
        <v>3000</v>
      </c>
      <c r="L910" s="189"/>
      <c r="M910" s="59"/>
      <c r="N910" s="65"/>
      <c r="O910" s="65"/>
      <c r="P910" s="374"/>
      <c r="Q910" s="375"/>
    </row>
    <row r="911" spans="1:17" ht="16.5" customHeight="1">
      <c r="A911" s="291" t="s">
        <v>357</v>
      </c>
      <c r="B911" s="29" t="s">
        <v>265</v>
      </c>
      <c r="C911" s="30" t="s">
        <v>353</v>
      </c>
      <c r="D911" s="30" t="s">
        <v>130</v>
      </c>
      <c r="E911" s="30" t="s">
        <v>358</v>
      </c>
      <c r="F911" s="32"/>
      <c r="G911" s="138" t="e">
        <f aca="true" t="shared" si="161" ref="G911:Q912">G912</f>
        <v>#REF!</v>
      </c>
      <c r="H911" s="34" t="e">
        <f t="shared" si="161"/>
        <v>#REF!</v>
      </c>
      <c r="I911" s="34" t="e">
        <f t="shared" si="161"/>
        <v>#REF!</v>
      </c>
      <c r="J911" s="138" t="e">
        <f t="shared" si="161"/>
        <v>#REF!</v>
      </c>
      <c r="K911" s="183" t="e">
        <f t="shared" si="161"/>
        <v>#REF!</v>
      </c>
      <c r="L911" s="183" t="e">
        <f t="shared" si="161"/>
        <v>#REF!</v>
      </c>
      <c r="M911" s="183" t="e">
        <f t="shared" si="161"/>
        <v>#REF!</v>
      </c>
      <c r="N911" s="183">
        <f t="shared" si="161"/>
        <v>0</v>
      </c>
      <c r="O911" s="138">
        <f t="shared" si="161"/>
        <v>28</v>
      </c>
      <c r="P911" s="404">
        <f t="shared" si="161"/>
        <v>28</v>
      </c>
      <c r="Q911" s="405">
        <f t="shared" si="161"/>
        <v>28</v>
      </c>
    </row>
    <row r="912" spans="1:17" ht="15.75" customHeight="1">
      <c r="A912" s="270" t="s">
        <v>117</v>
      </c>
      <c r="B912" s="48" t="s">
        <v>265</v>
      </c>
      <c r="C912" s="49" t="s">
        <v>353</v>
      </c>
      <c r="D912" s="49" t="s">
        <v>130</v>
      </c>
      <c r="E912" s="49" t="s">
        <v>359</v>
      </c>
      <c r="F912" s="51"/>
      <c r="G912" s="71" t="e">
        <f>G913+#REF!</f>
        <v>#REF!</v>
      </c>
      <c r="H912" s="71" t="e">
        <f>H913+#REF!</f>
        <v>#REF!</v>
      </c>
      <c r="I912" s="71" t="e">
        <f>I913+#REF!</f>
        <v>#REF!</v>
      </c>
      <c r="J912" s="71" t="e">
        <f>J913+#REF!</f>
        <v>#REF!</v>
      </c>
      <c r="K912" s="173" t="e">
        <f>K913+#REF!</f>
        <v>#REF!</v>
      </c>
      <c r="L912" s="173" t="e">
        <f>L913+#REF!</f>
        <v>#REF!</v>
      </c>
      <c r="M912" s="173" t="e">
        <f>M913+#REF!</f>
        <v>#REF!</v>
      </c>
      <c r="N912" s="173"/>
      <c r="O912" s="71">
        <f>O913</f>
        <v>28</v>
      </c>
      <c r="P912" s="370">
        <f t="shared" si="161"/>
        <v>28</v>
      </c>
      <c r="Q912" s="371">
        <f t="shared" si="161"/>
        <v>28</v>
      </c>
    </row>
    <row r="913" spans="1:17" ht="16.5" customHeight="1" thickBot="1">
      <c r="A913" s="308" t="s">
        <v>90</v>
      </c>
      <c r="B913" s="139" t="s">
        <v>265</v>
      </c>
      <c r="C913" s="87" t="s">
        <v>353</v>
      </c>
      <c r="D913" s="87" t="s">
        <v>130</v>
      </c>
      <c r="E913" s="87" t="s">
        <v>359</v>
      </c>
      <c r="F913" s="88" t="s">
        <v>83</v>
      </c>
      <c r="G913" s="70" t="e">
        <f>#REF!+#REF!+#REF!+#REF!+#REF!+#REF!+#REF!+#REF!+#REF!+#REF!+#REF!</f>
        <v>#REF!</v>
      </c>
      <c r="H913" s="70" t="e">
        <f>#REF!+#REF!+#REF!+#REF!+#REF!+#REF!+#REF!+#REF!+#REF!+#REF!+#REF!</f>
        <v>#REF!</v>
      </c>
      <c r="I913" s="70" t="e">
        <f>#REF!+#REF!+#REF!+#REF!+#REF!+#REF!+#REF!+#REF!+#REF!+#REF!+#REF!</f>
        <v>#REF!</v>
      </c>
      <c r="J913" s="70" t="e">
        <f>#REF!+#REF!+#REF!+#REF!+#REF!+#REF!+#REF!+#REF!+#REF!+#REF!+#REF!</f>
        <v>#REF!</v>
      </c>
      <c r="K913" s="177" t="e">
        <f>#REF!+#REF!+#REF!+#REF!+#REF!+#REF!+#REF!+#REF!+#REF!+#REF!+#REF!</f>
        <v>#REF!</v>
      </c>
      <c r="L913" s="177" t="e">
        <f>#REF!+#REF!+#REF!+#REF!+#REF!+#REF!+#REF!+#REF!+#REF!+#REF!+#REF!</f>
        <v>#REF!</v>
      </c>
      <c r="M913" s="177" t="e">
        <f>#REF!+#REF!+#REF!+#REF!+#REF!+#REF!+#REF!+#REF!+#REF!+#REF!+#REF!</f>
        <v>#REF!</v>
      </c>
      <c r="N913" s="177"/>
      <c r="O913" s="70">
        <v>28</v>
      </c>
      <c r="P913" s="376">
        <v>28</v>
      </c>
      <c r="Q913" s="377">
        <v>28</v>
      </c>
    </row>
    <row r="914" spans="1:17" ht="16.5" customHeight="1">
      <c r="A914" s="275" t="s">
        <v>402</v>
      </c>
      <c r="B914" s="73" t="s">
        <v>265</v>
      </c>
      <c r="C914" s="81" t="s">
        <v>353</v>
      </c>
      <c r="D914" s="81" t="s">
        <v>130</v>
      </c>
      <c r="E914" s="81" t="s">
        <v>219</v>
      </c>
      <c r="F914" s="75"/>
      <c r="G914" s="76"/>
      <c r="H914" s="76"/>
      <c r="I914" s="76"/>
      <c r="J914" s="76"/>
      <c r="K914" s="166"/>
      <c r="L914" s="166"/>
      <c r="M914" s="166"/>
      <c r="N914" s="166"/>
      <c r="O914" s="64">
        <f aca="true" t="shared" si="162" ref="O914:Q916">O915</f>
        <v>2696.9</v>
      </c>
      <c r="P914" s="380">
        <f t="shared" si="162"/>
        <v>2963.3</v>
      </c>
      <c r="Q914" s="381">
        <f t="shared" si="162"/>
        <v>3673</v>
      </c>
    </row>
    <row r="915" spans="1:17" ht="16.5" customHeight="1">
      <c r="A915" s="275" t="s">
        <v>489</v>
      </c>
      <c r="B915" s="73" t="s">
        <v>265</v>
      </c>
      <c r="C915" s="81" t="s">
        <v>353</v>
      </c>
      <c r="D915" s="81" t="s">
        <v>130</v>
      </c>
      <c r="E915" s="81" t="s">
        <v>42</v>
      </c>
      <c r="F915" s="75"/>
      <c r="G915" s="76"/>
      <c r="H915" s="76"/>
      <c r="I915" s="76"/>
      <c r="J915" s="76"/>
      <c r="K915" s="166"/>
      <c r="L915" s="166"/>
      <c r="M915" s="166"/>
      <c r="N915" s="166"/>
      <c r="O915" s="64">
        <f t="shared" si="162"/>
        <v>2696.9</v>
      </c>
      <c r="P915" s="380">
        <f t="shared" si="162"/>
        <v>2963.3</v>
      </c>
      <c r="Q915" s="381">
        <f t="shared" si="162"/>
        <v>3673</v>
      </c>
    </row>
    <row r="916" spans="1:17" ht="25.5" hidden="1">
      <c r="A916" s="275" t="s">
        <v>491</v>
      </c>
      <c r="B916" s="73" t="s">
        <v>265</v>
      </c>
      <c r="C916" s="81" t="s">
        <v>353</v>
      </c>
      <c r="D916" s="81" t="s">
        <v>130</v>
      </c>
      <c r="E916" s="81" t="s">
        <v>492</v>
      </c>
      <c r="F916" s="75"/>
      <c r="G916" s="76"/>
      <c r="H916" s="76"/>
      <c r="I916" s="76"/>
      <c r="J916" s="76"/>
      <c r="K916" s="166"/>
      <c r="L916" s="166"/>
      <c r="M916" s="166"/>
      <c r="N916" s="166"/>
      <c r="O916" s="64">
        <f t="shared" si="162"/>
        <v>2696.9</v>
      </c>
      <c r="P916" s="380">
        <f t="shared" si="162"/>
        <v>2963.3</v>
      </c>
      <c r="Q916" s="381">
        <f t="shared" si="162"/>
        <v>3673</v>
      </c>
    </row>
    <row r="917" spans="1:17" ht="16.5" customHeight="1">
      <c r="A917" s="307" t="s">
        <v>507</v>
      </c>
      <c r="B917" s="73" t="s">
        <v>265</v>
      </c>
      <c r="C917" s="81" t="s">
        <v>353</v>
      </c>
      <c r="D917" s="81" t="s">
        <v>130</v>
      </c>
      <c r="E917" s="81" t="s">
        <v>508</v>
      </c>
      <c r="F917" s="77"/>
      <c r="G917" s="64"/>
      <c r="H917" s="64"/>
      <c r="I917" s="64"/>
      <c r="J917" s="64"/>
      <c r="K917" s="176"/>
      <c r="L917" s="176"/>
      <c r="M917" s="176"/>
      <c r="N917" s="176"/>
      <c r="O917" s="64">
        <f>O918+O919+O920</f>
        <v>2696.9</v>
      </c>
      <c r="P917" s="380">
        <f>P918+P919+P920</f>
        <v>2963.3</v>
      </c>
      <c r="Q917" s="381">
        <f>Q918+Q919+Q920</f>
        <v>3673</v>
      </c>
    </row>
    <row r="918" spans="1:17" ht="16.5" customHeight="1">
      <c r="A918" s="301" t="s">
        <v>90</v>
      </c>
      <c r="B918" s="105" t="s">
        <v>265</v>
      </c>
      <c r="C918" s="74" t="s">
        <v>353</v>
      </c>
      <c r="D918" s="74" t="s">
        <v>130</v>
      </c>
      <c r="E918" s="74" t="s">
        <v>508</v>
      </c>
      <c r="F918" s="75" t="s">
        <v>83</v>
      </c>
      <c r="G918" s="76"/>
      <c r="H918" s="76"/>
      <c r="I918" s="76"/>
      <c r="J918" s="76"/>
      <c r="K918" s="166"/>
      <c r="L918" s="166"/>
      <c r="M918" s="166"/>
      <c r="N918" s="166"/>
      <c r="O918" s="76">
        <v>80</v>
      </c>
      <c r="P918" s="382">
        <v>84</v>
      </c>
      <c r="Q918" s="383">
        <v>88</v>
      </c>
    </row>
    <row r="919" spans="1:17" ht="16.5" customHeight="1">
      <c r="A919" s="301" t="s">
        <v>511</v>
      </c>
      <c r="B919" s="105" t="s">
        <v>265</v>
      </c>
      <c r="C919" s="74" t="s">
        <v>353</v>
      </c>
      <c r="D919" s="74" t="s">
        <v>130</v>
      </c>
      <c r="E919" s="74" t="s">
        <v>508</v>
      </c>
      <c r="F919" s="75" t="s">
        <v>83</v>
      </c>
      <c r="G919" s="76"/>
      <c r="H919" s="76"/>
      <c r="I919" s="76"/>
      <c r="J919" s="76"/>
      <c r="K919" s="166"/>
      <c r="L919" s="166"/>
      <c r="M919" s="166"/>
      <c r="N919" s="166"/>
      <c r="O919" s="76">
        <v>50</v>
      </c>
      <c r="P919" s="382">
        <v>52</v>
      </c>
      <c r="Q919" s="383">
        <v>55</v>
      </c>
    </row>
    <row r="920" spans="1:17" ht="16.5" customHeight="1" thickBot="1">
      <c r="A920" s="308" t="s">
        <v>90</v>
      </c>
      <c r="B920" s="139" t="s">
        <v>265</v>
      </c>
      <c r="C920" s="87" t="s">
        <v>353</v>
      </c>
      <c r="D920" s="87" t="s">
        <v>130</v>
      </c>
      <c r="E920" s="87" t="s">
        <v>508</v>
      </c>
      <c r="F920" s="88" t="s">
        <v>83</v>
      </c>
      <c r="G920" s="70"/>
      <c r="H920" s="70"/>
      <c r="I920" s="70"/>
      <c r="J920" s="70"/>
      <c r="K920" s="177"/>
      <c r="L920" s="177"/>
      <c r="M920" s="177"/>
      <c r="N920" s="177"/>
      <c r="O920" s="70">
        <v>2566.9</v>
      </c>
      <c r="P920" s="376">
        <v>2827.3</v>
      </c>
      <c r="Q920" s="377">
        <v>3530</v>
      </c>
    </row>
    <row r="921" spans="1:17" ht="25.5" hidden="1">
      <c r="A921" s="311" t="s">
        <v>0</v>
      </c>
      <c r="B921" s="73">
        <v>905</v>
      </c>
      <c r="C921" s="74" t="s">
        <v>353</v>
      </c>
      <c r="D921" s="74" t="s">
        <v>130</v>
      </c>
      <c r="E921" s="74" t="s">
        <v>356</v>
      </c>
      <c r="F921" s="75" t="s">
        <v>133</v>
      </c>
      <c r="G921" s="64">
        <f>G922+G927</f>
        <v>0</v>
      </c>
      <c r="H921" s="37">
        <f>H922+H927</f>
        <v>0</v>
      </c>
      <c r="I921" s="37">
        <f>I922+I927</f>
        <v>0</v>
      </c>
      <c r="J921" s="64">
        <f>J922+J927</f>
        <v>0</v>
      </c>
      <c r="K921" s="176">
        <f>K922+K927</f>
        <v>0</v>
      </c>
      <c r="L921" s="221"/>
      <c r="M921" s="37"/>
      <c r="N921" s="64"/>
      <c r="O921" s="64"/>
      <c r="P921" s="380"/>
      <c r="Q921" s="381"/>
    </row>
    <row r="922" spans="1:17" ht="12.75" hidden="1">
      <c r="A922" s="299" t="s">
        <v>251</v>
      </c>
      <c r="B922" s="48">
        <v>905</v>
      </c>
      <c r="C922" s="53" t="s">
        <v>353</v>
      </c>
      <c r="D922" s="53" t="s">
        <v>130</v>
      </c>
      <c r="E922" s="53" t="s">
        <v>356</v>
      </c>
      <c r="F922" s="55" t="s">
        <v>252</v>
      </c>
      <c r="G922" s="71">
        <f aca="true" t="shared" si="163" ref="G922:K924">G923</f>
        <v>0</v>
      </c>
      <c r="H922" s="52">
        <f t="shared" si="163"/>
        <v>0</v>
      </c>
      <c r="I922" s="52">
        <f t="shared" si="163"/>
        <v>0</v>
      </c>
      <c r="J922" s="71">
        <f t="shared" si="163"/>
        <v>0</v>
      </c>
      <c r="K922" s="173">
        <f t="shared" si="163"/>
        <v>0</v>
      </c>
      <c r="L922" s="187"/>
      <c r="M922" s="52"/>
      <c r="N922" s="71"/>
      <c r="O922" s="71"/>
      <c r="P922" s="370"/>
      <c r="Q922" s="371"/>
    </row>
    <row r="923" spans="1:17" ht="12.75" hidden="1">
      <c r="A923" s="270" t="s">
        <v>141</v>
      </c>
      <c r="B923" s="48">
        <v>905</v>
      </c>
      <c r="C923" s="53" t="s">
        <v>353</v>
      </c>
      <c r="D923" s="53" t="s">
        <v>130</v>
      </c>
      <c r="E923" s="53" t="s">
        <v>356</v>
      </c>
      <c r="F923" s="55" t="s">
        <v>252</v>
      </c>
      <c r="G923" s="71">
        <f t="shared" si="163"/>
        <v>0</v>
      </c>
      <c r="H923" s="52">
        <f t="shared" si="163"/>
        <v>0</v>
      </c>
      <c r="I923" s="52">
        <f t="shared" si="163"/>
        <v>0</v>
      </c>
      <c r="J923" s="71">
        <f t="shared" si="163"/>
        <v>0</v>
      </c>
      <c r="K923" s="173">
        <f t="shared" si="163"/>
        <v>0</v>
      </c>
      <c r="L923" s="187"/>
      <c r="M923" s="52"/>
      <c r="N923" s="71"/>
      <c r="O923" s="71"/>
      <c r="P923" s="370"/>
      <c r="Q923" s="371"/>
    </row>
    <row r="924" spans="1:17" ht="12.75" hidden="1">
      <c r="A924" s="270" t="s">
        <v>153</v>
      </c>
      <c r="B924" s="48">
        <v>905</v>
      </c>
      <c r="C924" s="53" t="s">
        <v>353</v>
      </c>
      <c r="D924" s="53" t="s">
        <v>130</v>
      </c>
      <c r="E924" s="53" t="s">
        <v>356</v>
      </c>
      <c r="F924" s="55" t="s">
        <v>252</v>
      </c>
      <c r="G924" s="71">
        <f t="shared" si="163"/>
        <v>0</v>
      </c>
      <c r="H924" s="52">
        <f t="shared" si="163"/>
        <v>0</v>
      </c>
      <c r="I924" s="52">
        <f t="shared" si="163"/>
        <v>0</v>
      </c>
      <c r="J924" s="71">
        <f t="shared" si="163"/>
        <v>0</v>
      </c>
      <c r="K924" s="173">
        <f t="shared" si="163"/>
        <v>0</v>
      </c>
      <c r="L924" s="187"/>
      <c r="M924" s="52"/>
      <c r="N924" s="71"/>
      <c r="O924" s="71"/>
      <c r="P924" s="370"/>
      <c r="Q924" s="371"/>
    </row>
    <row r="925" spans="1:17" ht="12.75" hidden="1">
      <c r="A925" s="270" t="s">
        <v>156</v>
      </c>
      <c r="B925" s="48">
        <v>905</v>
      </c>
      <c r="C925" s="53" t="s">
        <v>353</v>
      </c>
      <c r="D925" s="53" t="s">
        <v>130</v>
      </c>
      <c r="E925" s="53" t="s">
        <v>356</v>
      </c>
      <c r="F925" s="55" t="s">
        <v>252</v>
      </c>
      <c r="G925" s="71">
        <v>0</v>
      </c>
      <c r="H925" s="52">
        <v>0</v>
      </c>
      <c r="I925" s="52">
        <v>0</v>
      </c>
      <c r="J925" s="71">
        <v>0</v>
      </c>
      <c r="K925" s="173">
        <v>0</v>
      </c>
      <c r="L925" s="187"/>
      <c r="M925" s="52"/>
      <c r="N925" s="71"/>
      <c r="O925" s="71"/>
      <c r="P925" s="370"/>
      <c r="Q925" s="371"/>
    </row>
    <row r="926" spans="1:17" ht="12.75" customHeight="1" hidden="1">
      <c r="A926" s="288"/>
      <c r="B926" s="48"/>
      <c r="C926" s="53"/>
      <c r="D926" s="53"/>
      <c r="E926" s="53"/>
      <c r="F926" s="55"/>
      <c r="G926" s="71"/>
      <c r="H926" s="52"/>
      <c r="I926" s="52"/>
      <c r="J926" s="71"/>
      <c r="K926" s="173"/>
      <c r="L926" s="187"/>
      <c r="M926" s="52"/>
      <c r="N926" s="71"/>
      <c r="O926" s="71"/>
      <c r="P926" s="370"/>
      <c r="Q926" s="371"/>
    </row>
    <row r="927" spans="1:17" ht="10.5" customHeight="1" hidden="1">
      <c r="A927" s="288"/>
      <c r="B927" s="48">
        <v>905</v>
      </c>
      <c r="C927" s="53" t="s">
        <v>353</v>
      </c>
      <c r="D927" s="53" t="s">
        <v>130</v>
      </c>
      <c r="E927" s="53" t="s">
        <v>356</v>
      </c>
      <c r="F927" s="55" t="s">
        <v>252</v>
      </c>
      <c r="G927" s="71">
        <f>SUM(G928)</f>
        <v>0</v>
      </c>
      <c r="H927" s="52">
        <f>SUM(H928)</f>
        <v>0</v>
      </c>
      <c r="I927" s="52">
        <f>SUM(I928)</f>
        <v>0</v>
      </c>
      <c r="J927" s="71">
        <f>SUM(J928)</f>
        <v>0</v>
      </c>
      <c r="K927" s="173">
        <f>SUM(K928)</f>
        <v>0</v>
      </c>
      <c r="L927" s="187"/>
      <c r="M927" s="52"/>
      <c r="N927" s="71"/>
      <c r="O927" s="71"/>
      <c r="P927" s="370"/>
      <c r="Q927" s="371"/>
    </row>
    <row r="928" spans="1:17" ht="20.25" customHeight="1" hidden="1">
      <c r="A928" s="312"/>
      <c r="B928" s="66">
        <v>905</v>
      </c>
      <c r="C928" s="67" t="s">
        <v>353</v>
      </c>
      <c r="D928" s="67" t="s">
        <v>130</v>
      </c>
      <c r="E928" s="67" t="s">
        <v>356</v>
      </c>
      <c r="F928" s="69" t="s">
        <v>252</v>
      </c>
      <c r="G928" s="71">
        <v>0</v>
      </c>
      <c r="H928" s="52">
        <v>0</v>
      </c>
      <c r="I928" s="52">
        <v>0</v>
      </c>
      <c r="J928" s="71">
        <v>0</v>
      </c>
      <c r="K928" s="173">
        <v>0</v>
      </c>
      <c r="L928" s="187"/>
      <c r="M928" s="52"/>
      <c r="N928" s="71"/>
      <c r="O928" s="71"/>
      <c r="P928" s="370"/>
      <c r="Q928" s="371"/>
    </row>
    <row r="929" spans="1:17" ht="13.5" hidden="1" thickBot="1">
      <c r="A929" s="313"/>
      <c r="B929" s="35"/>
      <c r="C929" s="60"/>
      <c r="D929" s="60"/>
      <c r="E929" s="60"/>
      <c r="F929" s="62" t="s">
        <v>169</v>
      </c>
      <c r="G929" s="70">
        <v>50</v>
      </c>
      <c r="H929" s="63">
        <v>50</v>
      </c>
      <c r="I929" s="63">
        <v>50</v>
      </c>
      <c r="J929" s="70">
        <v>50</v>
      </c>
      <c r="K929" s="177">
        <v>50</v>
      </c>
      <c r="L929" s="189"/>
      <c r="M929" s="59"/>
      <c r="N929" s="65"/>
      <c r="O929" s="65"/>
      <c r="P929" s="374"/>
      <c r="Q929" s="375"/>
    </row>
    <row r="930" spans="1:17" ht="15" customHeight="1" hidden="1" thickBot="1">
      <c r="A930" s="306" t="s">
        <v>178</v>
      </c>
      <c r="B930" s="43" t="s">
        <v>265</v>
      </c>
      <c r="C930" s="44" t="s">
        <v>353</v>
      </c>
      <c r="D930" s="44" t="s">
        <v>130</v>
      </c>
      <c r="E930" s="44" t="s">
        <v>179</v>
      </c>
      <c r="F930" s="46" t="s">
        <v>133</v>
      </c>
      <c r="G930" s="131">
        <f aca="true" t="shared" si="164" ref="G930:K931">G931</f>
        <v>0</v>
      </c>
      <c r="H930" s="47">
        <f t="shared" si="164"/>
        <v>0</v>
      </c>
      <c r="I930" s="47">
        <f t="shared" si="164"/>
        <v>0</v>
      </c>
      <c r="J930" s="131">
        <f t="shared" si="164"/>
        <v>0</v>
      </c>
      <c r="K930" s="172">
        <f t="shared" si="164"/>
        <v>0</v>
      </c>
      <c r="L930" s="187"/>
      <c r="M930" s="52"/>
      <c r="N930" s="71"/>
      <c r="O930" s="71"/>
      <c r="P930" s="370"/>
      <c r="Q930" s="371"/>
    </row>
    <row r="931" spans="1:17" ht="1.5" customHeight="1" hidden="1" thickBot="1">
      <c r="A931" s="283" t="s">
        <v>321</v>
      </c>
      <c r="B931" s="73" t="s">
        <v>265</v>
      </c>
      <c r="C931" s="74" t="s">
        <v>353</v>
      </c>
      <c r="D931" s="74" t="s">
        <v>130</v>
      </c>
      <c r="E931" s="74" t="s">
        <v>179</v>
      </c>
      <c r="F931" s="75" t="s">
        <v>322</v>
      </c>
      <c r="G931" s="76">
        <f t="shared" si="164"/>
        <v>0</v>
      </c>
      <c r="H931" s="98">
        <f t="shared" si="164"/>
        <v>0</v>
      </c>
      <c r="I931" s="98">
        <f t="shared" si="164"/>
        <v>0</v>
      </c>
      <c r="J931" s="76">
        <f t="shared" si="164"/>
        <v>0</v>
      </c>
      <c r="K931" s="166">
        <f t="shared" si="164"/>
        <v>0</v>
      </c>
      <c r="L931" s="189"/>
      <c r="M931" s="59"/>
      <c r="N931" s="65"/>
      <c r="O931" s="65"/>
      <c r="P931" s="374"/>
      <c r="Q931" s="375"/>
    </row>
    <row r="932" spans="1:17" ht="13.5" hidden="1" thickBot="1">
      <c r="A932" s="310"/>
      <c r="B932" s="35"/>
      <c r="C932" s="60"/>
      <c r="D932" s="60"/>
      <c r="E932" s="60"/>
      <c r="F932" s="62" t="s">
        <v>148</v>
      </c>
      <c r="G932" s="70"/>
      <c r="H932" s="63"/>
      <c r="I932" s="63"/>
      <c r="J932" s="70"/>
      <c r="K932" s="177"/>
      <c r="L932" s="189"/>
      <c r="M932" s="59"/>
      <c r="N932" s="65"/>
      <c r="O932" s="65"/>
      <c r="P932" s="374"/>
      <c r="Q932" s="375"/>
    </row>
    <row r="933" spans="1:17" ht="13.5" hidden="1" thickBot="1">
      <c r="A933" s="274" t="s">
        <v>218</v>
      </c>
      <c r="B933" s="21" t="s">
        <v>265</v>
      </c>
      <c r="C933" s="22" t="s">
        <v>353</v>
      </c>
      <c r="D933" s="22" t="s">
        <v>130</v>
      </c>
      <c r="E933" s="22" t="s">
        <v>219</v>
      </c>
      <c r="F933" s="24"/>
      <c r="G933" s="132" t="e">
        <f>#REF!+#REF!+#REF!</f>
        <v>#REF!</v>
      </c>
      <c r="H933" s="132" t="e">
        <f>#REF!+#REF!+#REF!</f>
        <v>#REF!</v>
      </c>
      <c r="I933" s="132" t="e">
        <f>#REF!+#REF!+#REF!</f>
        <v>#REF!</v>
      </c>
      <c r="J933" s="132" t="e">
        <f>#REF!+#REF!+#REF!</f>
        <v>#REF!</v>
      </c>
      <c r="K933" s="175" t="e">
        <f>#REF!+#REF!+#REF!</f>
        <v>#REF!</v>
      </c>
      <c r="L933" s="187"/>
      <c r="M933" s="52"/>
      <c r="N933" s="71"/>
      <c r="O933" s="71"/>
      <c r="P933" s="370"/>
      <c r="Q933" s="371"/>
    </row>
    <row r="934" spans="1:17" ht="25.5">
      <c r="A934" s="275" t="s">
        <v>546</v>
      </c>
      <c r="B934" s="73" t="s">
        <v>265</v>
      </c>
      <c r="C934" s="81" t="s">
        <v>353</v>
      </c>
      <c r="D934" s="81" t="s">
        <v>130</v>
      </c>
      <c r="E934" s="81" t="s">
        <v>545</v>
      </c>
      <c r="F934" s="77"/>
      <c r="G934" s="64">
        <f aca="true" t="shared" si="165" ref="G934:M934">G937</f>
        <v>0</v>
      </c>
      <c r="H934" s="64">
        <f t="shared" si="165"/>
        <v>0</v>
      </c>
      <c r="I934" s="64">
        <f t="shared" si="165"/>
        <v>0</v>
      </c>
      <c r="J934" s="64">
        <f t="shared" si="165"/>
        <v>500</v>
      </c>
      <c r="K934" s="176">
        <f t="shared" si="165"/>
        <v>500</v>
      </c>
      <c r="L934" s="176">
        <f t="shared" si="165"/>
        <v>0</v>
      </c>
      <c r="M934" s="176">
        <f t="shared" si="165"/>
        <v>0</v>
      </c>
      <c r="N934" s="176"/>
      <c r="O934" s="64">
        <f>O935</f>
        <v>500</v>
      </c>
      <c r="P934" s="380">
        <f aca="true" t="shared" si="166" ref="P934:Q936">P935</f>
        <v>0</v>
      </c>
      <c r="Q934" s="381">
        <f t="shared" si="166"/>
        <v>0</v>
      </c>
    </row>
    <row r="935" spans="1:17" ht="38.25">
      <c r="A935" s="275" t="s">
        <v>548</v>
      </c>
      <c r="B935" s="73" t="s">
        <v>265</v>
      </c>
      <c r="C935" s="81" t="s">
        <v>353</v>
      </c>
      <c r="D935" s="81" t="s">
        <v>130</v>
      </c>
      <c r="E935" s="81" t="s">
        <v>547</v>
      </c>
      <c r="F935" s="77"/>
      <c r="G935" s="64">
        <f aca="true" t="shared" si="167" ref="G935:M936">G939</f>
        <v>5333.23776</v>
      </c>
      <c r="H935" s="64">
        <f t="shared" si="167"/>
        <v>5058.198017600001</v>
      </c>
      <c r="I935" s="64">
        <f t="shared" si="167"/>
        <v>5268.11300205128</v>
      </c>
      <c r="J935" s="64">
        <f t="shared" si="167"/>
        <v>338.1</v>
      </c>
      <c r="K935" s="176">
        <f t="shared" si="167"/>
        <v>5671.33776</v>
      </c>
      <c r="L935" s="176">
        <f t="shared" si="167"/>
        <v>42</v>
      </c>
      <c r="M935" s="176">
        <f t="shared" si="167"/>
        <v>1004.1</v>
      </c>
      <c r="N935" s="176"/>
      <c r="O935" s="64">
        <f>O936</f>
        <v>500</v>
      </c>
      <c r="P935" s="380">
        <f t="shared" si="166"/>
        <v>0</v>
      </c>
      <c r="Q935" s="381">
        <f t="shared" si="166"/>
        <v>0</v>
      </c>
    </row>
    <row r="936" spans="1:17" ht="38.25">
      <c r="A936" s="275" t="s">
        <v>552</v>
      </c>
      <c r="B936" s="73" t="s">
        <v>265</v>
      </c>
      <c r="C936" s="81" t="s">
        <v>353</v>
      </c>
      <c r="D936" s="81" t="s">
        <v>130</v>
      </c>
      <c r="E936" s="81" t="s">
        <v>551</v>
      </c>
      <c r="F936" s="77"/>
      <c r="G936" s="64">
        <f t="shared" si="167"/>
        <v>0</v>
      </c>
      <c r="H936" s="64">
        <f t="shared" si="167"/>
        <v>0</v>
      </c>
      <c r="I936" s="64">
        <f t="shared" si="167"/>
        <v>0</v>
      </c>
      <c r="J936" s="64">
        <f t="shared" si="167"/>
        <v>0</v>
      </c>
      <c r="K936" s="176">
        <f t="shared" si="167"/>
        <v>5671.33776</v>
      </c>
      <c r="L936" s="176">
        <f t="shared" si="167"/>
        <v>42</v>
      </c>
      <c r="M936" s="176">
        <f t="shared" si="167"/>
        <v>1004.1</v>
      </c>
      <c r="N936" s="176"/>
      <c r="O936" s="64">
        <f>O937</f>
        <v>500</v>
      </c>
      <c r="P936" s="380">
        <f t="shared" si="166"/>
        <v>0</v>
      </c>
      <c r="Q936" s="381">
        <f t="shared" si="166"/>
        <v>0</v>
      </c>
    </row>
    <row r="937" spans="1:17" ht="16.5" customHeight="1" thickBot="1">
      <c r="A937" s="308" t="s">
        <v>90</v>
      </c>
      <c r="B937" s="139" t="s">
        <v>265</v>
      </c>
      <c r="C937" s="87" t="s">
        <v>353</v>
      </c>
      <c r="D937" s="87" t="s">
        <v>130</v>
      </c>
      <c r="E937" s="87" t="s">
        <v>551</v>
      </c>
      <c r="F937" s="88" t="s">
        <v>377</v>
      </c>
      <c r="G937" s="70"/>
      <c r="H937" s="70"/>
      <c r="I937" s="70"/>
      <c r="J937" s="70">
        <v>500</v>
      </c>
      <c r="K937" s="177">
        <f>G937+J937</f>
        <v>500</v>
      </c>
      <c r="L937" s="197"/>
      <c r="M937" s="63"/>
      <c r="N937" s="70"/>
      <c r="O937" s="70">
        <v>500</v>
      </c>
      <c r="P937" s="376">
        <v>0</v>
      </c>
      <c r="Q937" s="377">
        <v>0</v>
      </c>
    </row>
    <row r="938" spans="1:17" ht="18" customHeight="1">
      <c r="A938" s="314" t="s">
        <v>591</v>
      </c>
      <c r="B938" s="257" t="s">
        <v>265</v>
      </c>
      <c r="C938" s="258" t="s">
        <v>353</v>
      </c>
      <c r="D938" s="258" t="s">
        <v>171</v>
      </c>
      <c r="E938" s="258"/>
      <c r="F938" s="259"/>
      <c r="G938" s="260">
        <f aca="true" t="shared" si="168" ref="G938:J939">G940+G944+G951</f>
        <v>1178.25776</v>
      </c>
      <c r="H938" s="260">
        <f t="shared" si="168"/>
        <v>1116.54816</v>
      </c>
      <c r="I938" s="260">
        <f t="shared" si="168"/>
        <v>1165.1733724599999</v>
      </c>
      <c r="J938" s="260">
        <f t="shared" si="168"/>
        <v>88.4</v>
      </c>
      <c r="K938" s="261">
        <f aca="true" t="shared" si="169" ref="K938:N939">K939</f>
        <v>5671.33776</v>
      </c>
      <c r="L938" s="261">
        <f t="shared" si="169"/>
        <v>42</v>
      </c>
      <c r="M938" s="261">
        <f t="shared" si="169"/>
        <v>1004.1</v>
      </c>
      <c r="N938" s="261">
        <f t="shared" si="169"/>
        <v>0</v>
      </c>
      <c r="O938" s="260">
        <f>O939+O956</f>
        <v>8948.8</v>
      </c>
      <c r="P938" s="409">
        <f>P939+P956</f>
        <v>8948.8</v>
      </c>
      <c r="Q938" s="410">
        <f>Q939+Q956</f>
        <v>8948.8</v>
      </c>
    </row>
    <row r="939" spans="1:17" ht="38.25">
      <c r="A939" s="275" t="s">
        <v>343</v>
      </c>
      <c r="B939" s="73" t="s">
        <v>265</v>
      </c>
      <c r="C939" s="81" t="s">
        <v>353</v>
      </c>
      <c r="D939" s="81" t="s">
        <v>171</v>
      </c>
      <c r="E939" s="81" t="s">
        <v>344</v>
      </c>
      <c r="F939" s="77"/>
      <c r="G939" s="64">
        <f t="shared" si="168"/>
        <v>5333.23776</v>
      </c>
      <c r="H939" s="64">
        <f t="shared" si="168"/>
        <v>5058.198017600001</v>
      </c>
      <c r="I939" s="64">
        <f t="shared" si="168"/>
        <v>5268.11300205128</v>
      </c>
      <c r="J939" s="64">
        <f t="shared" si="168"/>
        <v>338.1</v>
      </c>
      <c r="K939" s="176">
        <f t="shared" si="169"/>
        <v>5671.33776</v>
      </c>
      <c r="L939" s="176">
        <f t="shared" si="169"/>
        <v>42</v>
      </c>
      <c r="M939" s="176">
        <f t="shared" si="169"/>
        <v>1004.1</v>
      </c>
      <c r="N939" s="176">
        <f t="shared" si="169"/>
        <v>0</v>
      </c>
      <c r="O939" s="64">
        <f>O940</f>
        <v>8938.8</v>
      </c>
      <c r="P939" s="380">
        <f>P940</f>
        <v>8938.8</v>
      </c>
      <c r="Q939" s="381">
        <f>Q940</f>
        <v>8938.8</v>
      </c>
    </row>
    <row r="940" spans="1:17" ht="17.25" customHeight="1">
      <c r="A940" s="281" t="s">
        <v>117</v>
      </c>
      <c r="B940" s="66" t="s">
        <v>265</v>
      </c>
      <c r="C940" s="92" t="s">
        <v>353</v>
      </c>
      <c r="D940" s="92" t="s">
        <v>171</v>
      </c>
      <c r="E940" s="92" t="s">
        <v>345</v>
      </c>
      <c r="F940" s="28"/>
      <c r="G940" s="134"/>
      <c r="H940" s="134"/>
      <c r="I940" s="134"/>
      <c r="J940" s="134"/>
      <c r="K940" s="161">
        <f aca="true" t="shared" si="170" ref="K940:Q940">K941+K945+K952</f>
        <v>5671.33776</v>
      </c>
      <c r="L940" s="161">
        <f t="shared" si="170"/>
        <v>42</v>
      </c>
      <c r="M940" s="161">
        <f t="shared" si="170"/>
        <v>1004.1</v>
      </c>
      <c r="N940" s="161">
        <f t="shared" si="170"/>
        <v>0</v>
      </c>
      <c r="O940" s="134">
        <f t="shared" si="170"/>
        <v>8938.8</v>
      </c>
      <c r="P940" s="394">
        <f t="shared" si="170"/>
        <v>8938.8</v>
      </c>
      <c r="Q940" s="395">
        <f t="shared" si="170"/>
        <v>8938.8</v>
      </c>
    </row>
    <row r="941" spans="1:17" ht="16.5" customHeight="1">
      <c r="A941" s="277" t="s">
        <v>92</v>
      </c>
      <c r="B941" s="99" t="s">
        <v>265</v>
      </c>
      <c r="C941" s="53" t="s">
        <v>353</v>
      </c>
      <c r="D941" s="53" t="s">
        <v>171</v>
      </c>
      <c r="E941" s="53" t="s">
        <v>345</v>
      </c>
      <c r="F941" s="55" t="s">
        <v>91</v>
      </c>
      <c r="G941" s="65">
        <f aca="true" t="shared" si="171" ref="G941:N941">G942+G943+G944</f>
        <v>5037.55776</v>
      </c>
      <c r="H941" s="59">
        <f t="shared" si="171"/>
        <v>4775.1849600000005</v>
      </c>
      <c r="I941" s="59">
        <f t="shared" si="171"/>
        <v>4986.0332</v>
      </c>
      <c r="J941" s="65">
        <f t="shared" si="171"/>
        <v>338.1</v>
      </c>
      <c r="K941" s="164">
        <f t="shared" si="171"/>
        <v>5375.65776</v>
      </c>
      <c r="L941" s="164">
        <f t="shared" si="171"/>
        <v>0</v>
      </c>
      <c r="M941" s="164">
        <f t="shared" si="171"/>
        <v>1004.1</v>
      </c>
      <c r="N941" s="164">
        <f t="shared" si="171"/>
        <v>0</v>
      </c>
      <c r="O941" s="65">
        <f>O942+O943+O944</f>
        <v>8594.9</v>
      </c>
      <c r="P941" s="374">
        <f>P942+P943+P944</f>
        <v>8594.9</v>
      </c>
      <c r="Q941" s="375">
        <f>Q942+Q943+Q944</f>
        <v>8594.9</v>
      </c>
    </row>
    <row r="942" spans="1:17" ht="12.75" hidden="1">
      <c r="A942" s="271"/>
      <c r="B942" s="26"/>
      <c r="C942" s="56"/>
      <c r="D942" s="56"/>
      <c r="E942" s="56"/>
      <c r="F942" s="58" t="s">
        <v>146</v>
      </c>
      <c r="G942" s="76">
        <v>3868.3</v>
      </c>
      <c r="H942" s="98">
        <f>4028*0.91</f>
        <v>3665.48</v>
      </c>
      <c r="I942" s="98">
        <f>4028*0.95</f>
        <v>3826.6</v>
      </c>
      <c r="J942" s="76">
        <v>259.7</v>
      </c>
      <c r="K942" s="166">
        <v>4128</v>
      </c>
      <c r="L942" s="199"/>
      <c r="M942" s="98">
        <v>771.2</v>
      </c>
      <c r="N942" s="76"/>
      <c r="O942" s="76">
        <v>6601</v>
      </c>
      <c r="P942" s="374">
        <v>6601</v>
      </c>
      <c r="Q942" s="375">
        <v>6601</v>
      </c>
    </row>
    <row r="943" spans="1:17" ht="12.75" hidden="1">
      <c r="A943" s="277"/>
      <c r="B943" s="48"/>
      <c r="C943" s="53"/>
      <c r="D943" s="53"/>
      <c r="E943" s="53"/>
      <c r="F943" s="55" t="s">
        <v>147</v>
      </c>
      <c r="G943" s="65">
        <v>1</v>
      </c>
      <c r="H943" s="59">
        <f>3*0.91</f>
        <v>2.73</v>
      </c>
      <c r="I943" s="59">
        <f>4*0.95</f>
        <v>3.8</v>
      </c>
      <c r="J943" s="65"/>
      <c r="K943" s="164">
        <v>1</v>
      </c>
      <c r="L943" s="189"/>
      <c r="M943" s="59"/>
      <c r="N943" s="65"/>
      <c r="O943" s="65">
        <v>1</v>
      </c>
      <c r="P943" s="374">
        <v>1</v>
      </c>
      <c r="Q943" s="375">
        <v>1</v>
      </c>
    </row>
    <row r="944" spans="1:17" ht="12.75" hidden="1">
      <c r="A944" s="271"/>
      <c r="B944" s="26"/>
      <c r="C944" s="56"/>
      <c r="D944" s="56"/>
      <c r="E944" s="56"/>
      <c r="F944" s="58" t="s">
        <v>148</v>
      </c>
      <c r="G944" s="65">
        <v>1168.25776</v>
      </c>
      <c r="H944" s="59">
        <f>H942*0.302</f>
        <v>1106.97496</v>
      </c>
      <c r="I944" s="59">
        <f>I942*0.302</f>
        <v>1155.6332</v>
      </c>
      <c r="J944" s="65">
        <v>78.4</v>
      </c>
      <c r="K944" s="164">
        <v>1246.65776</v>
      </c>
      <c r="L944" s="189"/>
      <c r="M944" s="59">
        <v>232.9</v>
      </c>
      <c r="N944" s="65"/>
      <c r="O944" s="65">
        <v>1992.9</v>
      </c>
      <c r="P944" s="374">
        <v>1992.9</v>
      </c>
      <c r="Q944" s="375">
        <v>1992.9</v>
      </c>
    </row>
    <row r="945" spans="1:17" ht="16.5" customHeight="1">
      <c r="A945" s="277" t="s">
        <v>80</v>
      </c>
      <c r="B945" s="105" t="s">
        <v>265</v>
      </c>
      <c r="C945" s="74" t="s">
        <v>353</v>
      </c>
      <c r="D945" s="74" t="s">
        <v>171</v>
      </c>
      <c r="E945" s="74" t="s">
        <v>345</v>
      </c>
      <c r="F945" s="55" t="s">
        <v>77</v>
      </c>
      <c r="G945" s="65">
        <f aca="true" t="shared" si="172" ref="G945:N945">G946+G947+G948+G950+G951+G954+G955+G949</f>
        <v>288.96</v>
      </c>
      <c r="H945" s="65">
        <f t="shared" si="172"/>
        <v>276.57986719999997</v>
      </c>
      <c r="I945" s="65">
        <f t="shared" si="172"/>
        <v>275.66880615816</v>
      </c>
      <c r="J945" s="65">
        <f t="shared" si="172"/>
        <v>1</v>
      </c>
      <c r="K945" s="164">
        <f t="shared" si="172"/>
        <v>289.96</v>
      </c>
      <c r="L945" s="164">
        <f t="shared" si="172"/>
        <v>42</v>
      </c>
      <c r="M945" s="164">
        <f t="shared" si="172"/>
        <v>0</v>
      </c>
      <c r="N945" s="164">
        <f t="shared" si="172"/>
        <v>0</v>
      </c>
      <c r="O945" s="65">
        <f>O946+O947+O948+O950+O951+O954+O955+O949</f>
        <v>337.8</v>
      </c>
      <c r="P945" s="374">
        <f>P946+P947+P948+P950+P951+P954+P955+P949</f>
        <v>337.8</v>
      </c>
      <c r="Q945" s="375">
        <f>Q946+Q947+Q948+Q950+Q951+Q954+Q955+Q949</f>
        <v>337.8</v>
      </c>
    </row>
    <row r="946" spans="1:17" ht="12.75" hidden="1">
      <c r="A946" s="277"/>
      <c r="B946" s="48"/>
      <c r="C946" s="53"/>
      <c r="D946" s="53"/>
      <c r="E946" s="53"/>
      <c r="F946" s="55" t="s">
        <v>164</v>
      </c>
      <c r="G946" s="65">
        <v>97.96</v>
      </c>
      <c r="H946" s="59">
        <f>G946*1.052*0.91</f>
        <v>93.7790672</v>
      </c>
      <c r="I946" s="59">
        <f>H946*1.049*0.95</f>
        <v>93.45552941816</v>
      </c>
      <c r="J946" s="65"/>
      <c r="K946" s="164">
        <v>97.96</v>
      </c>
      <c r="L946" s="189"/>
      <c r="M946" s="59"/>
      <c r="N946" s="65"/>
      <c r="O946" s="65">
        <v>117.9</v>
      </c>
      <c r="P946" s="374">
        <v>117.9</v>
      </c>
      <c r="Q946" s="375">
        <v>117.9</v>
      </c>
    </row>
    <row r="947" spans="1:17" ht="12.75" hidden="1">
      <c r="A947" s="271"/>
      <c r="B947" s="26"/>
      <c r="C947" s="56"/>
      <c r="D947" s="56"/>
      <c r="E947" s="56"/>
      <c r="F947" s="58" t="s">
        <v>165</v>
      </c>
      <c r="G947" s="65">
        <v>1</v>
      </c>
      <c r="H947" s="59">
        <f>1*0.91</f>
        <v>0.91</v>
      </c>
      <c r="I947" s="59">
        <f>1*0.95</f>
        <v>0.95</v>
      </c>
      <c r="J947" s="65"/>
      <c r="K947" s="164">
        <v>1</v>
      </c>
      <c r="L947" s="189"/>
      <c r="M947" s="59"/>
      <c r="N947" s="65"/>
      <c r="O947" s="65">
        <v>1</v>
      </c>
      <c r="P947" s="374">
        <v>1</v>
      </c>
      <c r="Q947" s="375">
        <v>1</v>
      </c>
    </row>
    <row r="948" spans="1:17" ht="12.75" hidden="1">
      <c r="A948" s="277"/>
      <c r="B948" s="48"/>
      <c r="C948" s="53"/>
      <c r="D948" s="53"/>
      <c r="E948" s="53"/>
      <c r="F948" s="55" t="s">
        <v>176</v>
      </c>
      <c r="G948" s="65"/>
      <c r="H948" s="59"/>
      <c r="I948" s="59"/>
      <c r="J948" s="65"/>
      <c r="K948" s="164">
        <f>G948+J948</f>
        <v>0</v>
      </c>
      <c r="L948" s="189"/>
      <c r="M948" s="59"/>
      <c r="N948" s="65"/>
      <c r="O948" s="65">
        <f>L948+M948+N948</f>
        <v>0</v>
      </c>
      <c r="P948" s="374">
        <f>M948+N948+O948</f>
        <v>0</v>
      </c>
      <c r="Q948" s="375">
        <f>N948+O948+P948</f>
        <v>0</v>
      </c>
    </row>
    <row r="949" spans="1:17" ht="12.75" hidden="1">
      <c r="A949" s="271"/>
      <c r="B949" s="26"/>
      <c r="C949" s="56"/>
      <c r="D949" s="56"/>
      <c r="E949" s="56"/>
      <c r="F949" s="58" t="s">
        <v>168</v>
      </c>
      <c r="G949" s="65"/>
      <c r="H949" s="59"/>
      <c r="I949" s="59"/>
      <c r="J949" s="65">
        <v>3</v>
      </c>
      <c r="K949" s="164">
        <v>3</v>
      </c>
      <c r="L949" s="189"/>
      <c r="M949" s="59"/>
      <c r="N949" s="65"/>
      <c r="O949" s="65">
        <v>3.2</v>
      </c>
      <c r="P949" s="374">
        <v>3.2</v>
      </c>
      <c r="Q949" s="375">
        <v>3.2</v>
      </c>
    </row>
    <row r="950" spans="1:17" ht="12.75" hidden="1">
      <c r="A950" s="271"/>
      <c r="B950" s="26"/>
      <c r="C950" s="56"/>
      <c r="D950" s="56"/>
      <c r="E950" s="56"/>
      <c r="F950" s="58" t="s">
        <v>166</v>
      </c>
      <c r="G950" s="65">
        <v>8</v>
      </c>
      <c r="H950" s="59">
        <f>G950*1.052*0.91</f>
        <v>7.6585600000000005</v>
      </c>
      <c r="I950" s="59">
        <f>H950*1.049*0.95</f>
        <v>7.632137967999999</v>
      </c>
      <c r="J950" s="65"/>
      <c r="K950" s="164">
        <v>8</v>
      </c>
      <c r="L950" s="189"/>
      <c r="M950" s="59"/>
      <c r="N950" s="65"/>
      <c r="O950" s="65">
        <v>5.3</v>
      </c>
      <c r="P950" s="374">
        <v>5.3</v>
      </c>
      <c r="Q950" s="375">
        <v>5.3</v>
      </c>
    </row>
    <row r="951" spans="1:17" ht="12.75" hidden="1">
      <c r="A951" s="277"/>
      <c r="B951" s="48"/>
      <c r="C951" s="53"/>
      <c r="D951" s="53"/>
      <c r="E951" s="53"/>
      <c r="F951" s="55" t="s">
        <v>167</v>
      </c>
      <c r="G951" s="65">
        <v>10</v>
      </c>
      <c r="H951" s="59">
        <f>G951*1.052*0.91</f>
        <v>9.5732</v>
      </c>
      <c r="I951" s="59">
        <f>H951*1.049*0.95</f>
        <v>9.540172459999999</v>
      </c>
      <c r="J951" s="65">
        <v>10</v>
      </c>
      <c r="K951" s="164">
        <v>20</v>
      </c>
      <c r="L951" s="189"/>
      <c r="M951" s="59"/>
      <c r="N951" s="65"/>
      <c r="O951" s="65">
        <v>21.1</v>
      </c>
      <c r="P951" s="374">
        <v>21.1</v>
      </c>
      <c r="Q951" s="375">
        <v>21.1</v>
      </c>
    </row>
    <row r="952" spans="1:17" ht="16.5" customHeight="1" thickBot="1">
      <c r="A952" s="278" t="s">
        <v>81</v>
      </c>
      <c r="B952" s="139" t="s">
        <v>265</v>
      </c>
      <c r="C952" s="87" t="s">
        <v>353</v>
      </c>
      <c r="D952" s="87" t="s">
        <v>171</v>
      </c>
      <c r="E952" s="87" t="s">
        <v>345</v>
      </c>
      <c r="F952" s="88" t="s">
        <v>78</v>
      </c>
      <c r="G952" s="70">
        <f aca="true" t="shared" si="173" ref="G952:Q952">G953</f>
        <v>6.72</v>
      </c>
      <c r="H952" s="63">
        <f t="shared" si="173"/>
        <v>6.4331904</v>
      </c>
      <c r="I952" s="63">
        <f t="shared" si="173"/>
        <v>6.410995893119999</v>
      </c>
      <c r="J952" s="70">
        <f t="shared" si="173"/>
        <v>-1</v>
      </c>
      <c r="K952" s="177">
        <f t="shared" si="173"/>
        <v>5.72</v>
      </c>
      <c r="L952" s="177">
        <f t="shared" si="173"/>
        <v>0</v>
      </c>
      <c r="M952" s="177">
        <f t="shared" si="173"/>
        <v>0</v>
      </c>
      <c r="N952" s="177">
        <f t="shared" si="173"/>
        <v>0</v>
      </c>
      <c r="O952" s="70">
        <f t="shared" si="173"/>
        <v>6.1</v>
      </c>
      <c r="P952" s="376">
        <f t="shared" si="173"/>
        <v>6.1</v>
      </c>
      <c r="Q952" s="377">
        <f t="shared" si="173"/>
        <v>6.1</v>
      </c>
    </row>
    <row r="953" spans="1:17" ht="12.75" hidden="1">
      <c r="A953" s="272"/>
      <c r="B953" s="26"/>
      <c r="C953" s="56"/>
      <c r="D953" s="56"/>
      <c r="E953" s="56"/>
      <c r="F953" s="58" t="s">
        <v>168</v>
      </c>
      <c r="G953" s="136">
        <v>6.72</v>
      </c>
      <c r="H953" s="98">
        <f>G953*1.052*0.91</f>
        <v>6.4331904</v>
      </c>
      <c r="I953" s="98">
        <f>H953*1.049*0.95</f>
        <v>6.410995893119999</v>
      </c>
      <c r="J953" s="136">
        <v>-1</v>
      </c>
      <c r="K953" s="166">
        <f>G953+J953</f>
        <v>5.72</v>
      </c>
      <c r="L953" s="199"/>
      <c r="M953" s="98"/>
      <c r="N953" s="76"/>
      <c r="O953" s="76">
        <v>6.1</v>
      </c>
      <c r="P953" s="382">
        <v>6.1</v>
      </c>
      <c r="Q953" s="383">
        <v>6.1</v>
      </c>
    </row>
    <row r="954" spans="1:17" ht="13.5" customHeight="1" hidden="1">
      <c r="A954" s="270"/>
      <c r="B954" s="48"/>
      <c r="C954" s="53"/>
      <c r="D954" s="53"/>
      <c r="E954" s="53"/>
      <c r="F954" s="55" t="s">
        <v>169</v>
      </c>
      <c r="G954" s="65">
        <v>34</v>
      </c>
      <c r="H954" s="59">
        <f>G954*1.052*0.91</f>
        <v>32.548880000000004</v>
      </c>
      <c r="I954" s="59">
        <f>H954*1.049*0.95</f>
        <v>32.436586364</v>
      </c>
      <c r="J954" s="65">
        <v>-12</v>
      </c>
      <c r="K954" s="164">
        <v>22</v>
      </c>
      <c r="L954" s="189"/>
      <c r="M954" s="59"/>
      <c r="N954" s="65"/>
      <c r="O954" s="65">
        <v>44</v>
      </c>
      <c r="P954" s="374">
        <v>44</v>
      </c>
      <c r="Q954" s="375">
        <v>44</v>
      </c>
    </row>
    <row r="955" spans="1:17" ht="13.5" hidden="1" thickBot="1">
      <c r="A955" s="273"/>
      <c r="B955" s="35"/>
      <c r="C955" s="60"/>
      <c r="D955" s="60"/>
      <c r="E955" s="60"/>
      <c r="F955" s="62" t="s">
        <v>170</v>
      </c>
      <c r="G955" s="137">
        <v>138</v>
      </c>
      <c r="H955" s="59">
        <f>G955*1.052*0.91</f>
        <v>132.11016</v>
      </c>
      <c r="I955" s="59">
        <f>H955*1.049*0.95</f>
        <v>131.65437994799998</v>
      </c>
      <c r="J955" s="137"/>
      <c r="K955" s="164">
        <v>138</v>
      </c>
      <c r="L955" s="189">
        <v>42</v>
      </c>
      <c r="M955" s="59"/>
      <c r="N955" s="65"/>
      <c r="O955" s="65">
        <v>145.3</v>
      </c>
      <c r="P955" s="374">
        <v>145.3</v>
      </c>
      <c r="Q955" s="375">
        <v>145.3</v>
      </c>
    </row>
    <row r="956" spans="1:17" ht="16.5" customHeight="1" thickBot="1">
      <c r="A956" s="307" t="s">
        <v>469</v>
      </c>
      <c r="B956" s="66" t="s">
        <v>265</v>
      </c>
      <c r="C956" s="92" t="s">
        <v>353</v>
      </c>
      <c r="D956" s="92" t="s">
        <v>171</v>
      </c>
      <c r="E956" s="92" t="s">
        <v>349</v>
      </c>
      <c r="F956" s="94"/>
      <c r="G956" s="137"/>
      <c r="H956" s="136"/>
      <c r="I956" s="136"/>
      <c r="J956" s="137"/>
      <c r="K956" s="111"/>
      <c r="L956" s="111"/>
      <c r="M956" s="111"/>
      <c r="N956" s="111"/>
      <c r="O956" s="155">
        <f aca="true" t="shared" si="174" ref="O956:Q957">O957</f>
        <v>10</v>
      </c>
      <c r="P956" s="396">
        <f t="shared" si="174"/>
        <v>10</v>
      </c>
      <c r="Q956" s="397">
        <f t="shared" si="174"/>
        <v>10</v>
      </c>
    </row>
    <row r="957" spans="1:17" ht="16.5" customHeight="1" thickBot="1">
      <c r="A957" s="270" t="s">
        <v>494</v>
      </c>
      <c r="B957" s="48" t="s">
        <v>265</v>
      </c>
      <c r="C957" s="49" t="s">
        <v>353</v>
      </c>
      <c r="D957" s="49" t="s">
        <v>171</v>
      </c>
      <c r="E957" s="49" t="s">
        <v>493</v>
      </c>
      <c r="F957" s="51"/>
      <c r="G957" s="137"/>
      <c r="H957" s="136"/>
      <c r="I957" s="136"/>
      <c r="J957" s="137"/>
      <c r="K957" s="111"/>
      <c r="L957" s="111"/>
      <c r="M957" s="111"/>
      <c r="N957" s="111"/>
      <c r="O957" s="71">
        <f t="shared" si="174"/>
        <v>10</v>
      </c>
      <c r="P957" s="370">
        <f t="shared" si="174"/>
        <v>10</v>
      </c>
      <c r="Q957" s="371">
        <f t="shared" si="174"/>
        <v>10</v>
      </c>
    </row>
    <row r="958" spans="1:17" ht="16.5" customHeight="1" thickBot="1">
      <c r="A958" s="277" t="s">
        <v>80</v>
      </c>
      <c r="B958" s="48" t="s">
        <v>265</v>
      </c>
      <c r="C958" s="53" t="s">
        <v>353</v>
      </c>
      <c r="D958" s="53" t="s">
        <v>171</v>
      </c>
      <c r="E958" s="53" t="s">
        <v>493</v>
      </c>
      <c r="F958" s="55" t="s">
        <v>77</v>
      </c>
      <c r="G958" s="137"/>
      <c r="H958" s="136"/>
      <c r="I958" s="136"/>
      <c r="J958" s="137"/>
      <c r="K958" s="111"/>
      <c r="L958" s="111"/>
      <c r="M958" s="111"/>
      <c r="N958" s="111"/>
      <c r="O958" s="136">
        <v>10</v>
      </c>
      <c r="P958" s="398">
        <v>10</v>
      </c>
      <c r="Q958" s="399">
        <v>10</v>
      </c>
    </row>
    <row r="959" spans="1:17" ht="16.5" customHeight="1" thickBot="1">
      <c r="A959" s="267" t="s">
        <v>112</v>
      </c>
      <c r="B959" s="118" t="s">
        <v>133</v>
      </c>
      <c r="C959" s="119" t="s">
        <v>128</v>
      </c>
      <c r="D959" s="119" t="s">
        <v>131</v>
      </c>
      <c r="E959" s="119"/>
      <c r="F959" s="121"/>
      <c r="G959" s="129" t="e">
        <f aca="true" t="shared" si="175" ref="G959:N959">G960+G1050+G1084</f>
        <v>#REF!</v>
      </c>
      <c r="H959" s="129" t="e">
        <f t="shared" si="175"/>
        <v>#REF!</v>
      </c>
      <c r="I959" s="129" t="e">
        <f t="shared" si="175"/>
        <v>#REF!</v>
      </c>
      <c r="J959" s="129" t="e">
        <f t="shared" si="175"/>
        <v>#REF!</v>
      </c>
      <c r="K959" s="170" t="e">
        <f t="shared" si="175"/>
        <v>#REF!</v>
      </c>
      <c r="L959" s="170" t="e">
        <f t="shared" si="175"/>
        <v>#REF!</v>
      </c>
      <c r="M959" s="170" t="e">
        <f t="shared" si="175"/>
        <v>#REF!</v>
      </c>
      <c r="N959" s="170">
        <f t="shared" si="175"/>
        <v>22683.3</v>
      </c>
      <c r="O959" s="129">
        <f>O960+O1050+O1084</f>
        <v>35152.670699999995</v>
      </c>
      <c r="P959" s="364">
        <f>P960+P1050+P1084</f>
        <v>36376.333</v>
      </c>
      <c r="Q959" s="365">
        <f>Q960+Q1050+Q1084</f>
        <v>36623.246</v>
      </c>
    </row>
    <row r="960" spans="1:17" ht="16.5" customHeight="1">
      <c r="A960" s="315" t="s">
        <v>4</v>
      </c>
      <c r="B960" s="245" t="s">
        <v>134</v>
      </c>
      <c r="C960" s="246" t="s">
        <v>128</v>
      </c>
      <c r="D960" s="246" t="s">
        <v>130</v>
      </c>
      <c r="E960" s="246"/>
      <c r="F960" s="247"/>
      <c r="G960" s="262" t="e">
        <f aca="true" t="shared" si="176" ref="G960:M960">G961</f>
        <v>#REF!</v>
      </c>
      <c r="H960" s="263" t="e">
        <f t="shared" si="176"/>
        <v>#REF!</v>
      </c>
      <c r="I960" s="263" t="e">
        <f t="shared" si="176"/>
        <v>#REF!</v>
      </c>
      <c r="J960" s="262" t="e">
        <f t="shared" si="176"/>
        <v>#REF!</v>
      </c>
      <c r="K960" s="264" t="e">
        <f t="shared" si="176"/>
        <v>#REF!</v>
      </c>
      <c r="L960" s="264" t="e">
        <f t="shared" si="176"/>
        <v>#REF!</v>
      </c>
      <c r="M960" s="264" t="e">
        <f t="shared" si="176"/>
        <v>#REF!</v>
      </c>
      <c r="N960" s="264">
        <f>N961+N964</f>
        <v>0</v>
      </c>
      <c r="O960" s="262">
        <f>O961+O964</f>
        <v>5307.6707</v>
      </c>
      <c r="P960" s="411">
        <f>P961+P964</f>
        <v>5521.833</v>
      </c>
      <c r="Q960" s="412">
        <f>Q961+Q964</f>
        <v>5748.746</v>
      </c>
    </row>
    <row r="961" spans="1:17" s="33" customFormat="1" ht="16.5" customHeight="1">
      <c r="A961" s="316" t="s">
        <v>480</v>
      </c>
      <c r="B961" s="73" t="s">
        <v>134</v>
      </c>
      <c r="C961" s="81" t="s">
        <v>128</v>
      </c>
      <c r="D961" s="81" t="s">
        <v>130</v>
      </c>
      <c r="E961" s="81" t="s">
        <v>481</v>
      </c>
      <c r="F961" s="77"/>
      <c r="G961" s="64" t="e">
        <f aca="true" t="shared" si="177" ref="G961:M961">G964</f>
        <v>#REF!</v>
      </c>
      <c r="H961" s="37" t="e">
        <f t="shared" si="177"/>
        <v>#REF!</v>
      </c>
      <c r="I961" s="37" t="e">
        <f t="shared" si="177"/>
        <v>#REF!</v>
      </c>
      <c r="J961" s="64" t="e">
        <f t="shared" si="177"/>
        <v>#REF!</v>
      </c>
      <c r="K961" s="176" t="e">
        <f t="shared" si="177"/>
        <v>#REF!</v>
      </c>
      <c r="L961" s="176" t="e">
        <f t="shared" si="177"/>
        <v>#REF!</v>
      </c>
      <c r="M961" s="176" t="e">
        <f t="shared" si="177"/>
        <v>#REF!</v>
      </c>
      <c r="N961" s="176">
        <f aca="true" t="shared" si="178" ref="N961:Q962">N962</f>
        <v>0</v>
      </c>
      <c r="O961" s="64">
        <f t="shared" si="178"/>
        <v>5224.6707</v>
      </c>
      <c r="P961" s="380">
        <f t="shared" si="178"/>
        <v>5438.833</v>
      </c>
      <c r="Q961" s="381">
        <f t="shared" si="178"/>
        <v>5665.746</v>
      </c>
    </row>
    <row r="962" spans="1:17" s="33" customFormat="1" ht="25.5">
      <c r="A962" s="270" t="s">
        <v>486</v>
      </c>
      <c r="B962" s="73" t="s">
        <v>134</v>
      </c>
      <c r="C962" s="81" t="s">
        <v>128</v>
      </c>
      <c r="D962" s="81" t="s">
        <v>130</v>
      </c>
      <c r="E962" s="81" t="s">
        <v>487</v>
      </c>
      <c r="F962" s="77"/>
      <c r="G962" s="64"/>
      <c r="H962" s="37"/>
      <c r="I962" s="37"/>
      <c r="J962" s="64"/>
      <c r="K962" s="176"/>
      <c r="L962" s="176"/>
      <c r="M962" s="176"/>
      <c r="N962" s="176">
        <f t="shared" si="178"/>
        <v>0</v>
      </c>
      <c r="O962" s="64">
        <f t="shared" si="178"/>
        <v>5224.6707</v>
      </c>
      <c r="P962" s="380">
        <f t="shared" si="178"/>
        <v>5438.833</v>
      </c>
      <c r="Q962" s="381">
        <f t="shared" si="178"/>
        <v>5665.746</v>
      </c>
    </row>
    <row r="963" spans="1:17" s="33" customFormat="1" ht="16.5" customHeight="1">
      <c r="A963" s="317" t="s">
        <v>93</v>
      </c>
      <c r="B963" s="99" t="s">
        <v>134</v>
      </c>
      <c r="C963" s="53" t="s">
        <v>128</v>
      </c>
      <c r="D963" s="53" t="s">
        <v>130</v>
      </c>
      <c r="E963" s="74" t="s">
        <v>488</v>
      </c>
      <c r="F963" s="75" t="s">
        <v>169</v>
      </c>
      <c r="G963" s="64"/>
      <c r="H963" s="37"/>
      <c r="I963" s="37"/>
      <c r="J963" s="64"/>
      <c r="K963" s="176"/>
      <c r="L963" s="176"/>
      <c r="M963" s="176"/>
      <c r="N963" s="166"/>
      <c r="O963" s="76">
        <v>5224.6707</v>
      </c>
      <c r="P963" s="382">
        <v>5438.833</v>
      </c>
      <c r="Q963" s="383">
        <v>5665.746</v>
      </c>
    </row>
    <row r="964" spans="1:17" ht="25.5">
      <c r="A964" s="270" t="s">
        <v>113</v>
      </c>
      <c r="B964" s="48" t="s">
        <v>134</v>
      </c>
      <c r="C964" s="49" t="s">
        <v>128</v>
      </c>
      <c r="D964" s="49" t="s">
        <v>130</v>
      </c>
      <c r="E964" s="49" t="s">
        <v>5</v>
      </c>
      <c r="F964" s="51"/>
      <c r="G964" s="71" t="e">
        <f aca="true" t="shared" si="179" ref="G964:Q964">G965</f>
        <v>#REF!</v>
      </c>
      <c r="H964" s="52" t="e">
        <f t="shared" si="179"/>
        <v>#REF!</v>
      </c>
      <c r="I964" s="52" t="e">
        <f t="shared" si="179"/>
        <v>#REF!</v>
      </c>
      <c r="J964" s="71" t="e">
        <f t="shared" si="179"/>
        <v>#REF!</v>
      </c>
      <c r="K964" s="173" t="e">
        <f t="shared" si="179"/>
        <v>#REF!</v>
      </c>
      <c r="L964" s="173" t="e">
        <f t="shared" si="179"/>
        <v>#REF!</v>
      </c>
      <c r="M964" s="173" t="e">
        <f t="shared" si="179"/>
        <v>#REF!</v>
      </c>
      <c r="N964" s="173">
        <f t="shared" si="179"/>
        <v>0</v>
      </c>
      <c r="O964" s="71">
        <f t="shared" si="179"/>
        <v>83</v>
      </c>
      <c r="P964" s="370">
        <f t="shared" si="179"/>
        <v>83</v>
      </c>
      <c r="Q964" s="371">
        <f t="shared" si="179"/>
        <v>83</v>
      </c>
    </row>
    <row r="965" spans="1:17" ht="16.5" customHeight="1" thickBot="1">
      <c r="A965" s="317" t="s">
        <v>93</v>
      </c>
      <c r="B965" s="48" t="s">
        <v>134</v>
      </c>
      <c r="C965" s="53" t="s">
        <v>128</v>
      </c>
      <c r="D965" s="53" t="s">
        <v>130</v>
      </c>
      <c r="E965" s="53" t="s">
        <v>5</v>
      </c>
      <c r="F965" s="55" t="s">
        <v>169</v>
      </c>
      <c r="G965" s="65" t="e">
        <f>G1048</f>
        <v>#REF!</v>
      </c>
      <c r="H965" s="59" t="e">
        <f>H1048</f>
        <v>#REF!</v>
      </c>
      <c r="I965" s="59" t="e">
        <f>I1048</f>
        <v>#REF!</v>
      </c>
      <c r="J965" s="65" t="e">
        <f>J1048</f>
        <v>#REF!</v>
      </c>
      <c r="K965" s="164" t="e">
        <f>#REF!+K1049</f>
        <v>#REF!</v>
      </c>
      <c r="L965" s="164" t="e">
        <f>#REF!+L1049</f>
        <v>#REF!</v>
      </c>
      <c r="M965" s="164" t="e">
        <f>#REF!+M1049</f>
        <v>#REF!</v>
      </c>
      <c r="N965" s="164">
        <f>N1049</f>
        <v>0</v>
      </c>
      <c r="O965" s="65">
        <f>O1049</f>
        <v>83</v>
      </c>
      <c r="P965" s="374">
        <f>P1049</f>
        <v>83</v>
      </c>
      <c r="Q965" s="375">
        <f>Q1049</f>
        <v>83</v>
      </c>
    </row>
    <row r="966" spans="1:17" ht="17.25" customHeight="1" hidden="1">
      <c r="A966" s="270" t="s">
        <v>141</v>
      </c>
      <c r="B966" s="48" t="s">
        <v>134</v>
      </c>
      <c r="C966" s="53" t="s">
        <v>128</v>
      </c>
      <c r="D966" s="53" t="s">
        <v>130</v>
      </c>
      <c r="E966" s="53" t="s">
        <v>5</v>
      </c>
      <c r="F966" s="55" t="s">
        <v>335</v>
      </c>
      <c r="G966" s="71">
        <f aca="true" t="shared" si="180" ref="G966:K967">G967</f>
        <v>4380</v>
      </c>
      <c r="H966" s="52">
        <f t="shared" si="180"/>
        <v>4380</v>
      </c>
      <c r="I966" s="52">
        <f t="shared" si="180"/>
        <v>4380</v>
      </c>
      <c r="J966" s="71">
        <f t="shared" si="180"/>
        <v>4380</v>
      </c>
      <c r="K966" s="173">
        <f t="shared" si="180"/>
        <v>4380</v>
      </c>
      <c r="L966" s="187"/>
      <c r="M966" s="52"/>
      <c r="N966" s="71"/>
      <c r="O966" s="71"/>
      <c r="P966" s="370"/>
      <c r="Q966" s="371"/>
    </row>
    <row r="967" spans="1:17" ht="14.25" customHeight="1" hidden="1">
      <c r="A967" s="270" t="s">
        <v>6</v>
      </c>
      <c r="B967" s="48" t="s">
        <v>134</v>
      </c>
      <c r="C967" s="53" t="s">
        <v>128</v>
      </c>
      <c r="D967" s="53" t="s">
        <v>130</v>
      </c>
      <c r="E967" s="53" t="s">
        <v>5</v>
      </c>
      <c r="F967" s="55" t="s">
        <v>335</v>
      </c>
      <c r="G967" s="71">
        <f t="shared" si="180"/>
        <v>4380</v>
      </c>
      <c r="H967" s="52">
        <f t="shared" si="180"/>
        <v>4380</v>
      </c>
      <c r="I967" s="52">
        <f t="shared" si="180"/>
        <v>4380</v>
      </c>
      <c r="J967" s="71">
        <f t="shared" si="180"/>
        <v>4380</v>
      </c>
      <c r="K967" s="173">
        <f t="shared" si="180"/>
        <v>4380</v>
      </c>
      <c r="L967" s="187"/>
      <c r="M967" s="52"/>
      <c r="N967" s="71"/>
      <c r="O967" s="71"/>
      <c r="P967" s="370"/>
      <c r="Q967" s="371"/>
    </row>
    <row r="968" spans="1:17" ht="14.25" customHeight="1" hidden="1">
      <c r="A968" s="270" t="s">
        <v>7</v>
      </c>
      <c r="B968" s="48" t="s">
        <v>134</v>
      </c>
      <c r="C968" s="53" t="s">
        <v>128</v>
      </c>
      <c r="D968" s="53" t="s">
        <v>130</v>
      </c>
      <c r="E968" s="53" t="s">
        <v>5</v>
      </c>
      <c r="F968" s="55" t="s">
        <v>335</v>
      </c>
      <c r="G968" s="71">
        <v>4380</v>
      </c>
      <c r="H968" s="52">
        <v>4380</v>
      </c>
      <c r="I968" s="52">
        <v>4380</v>
      </c>
      <c r="J968" s="71">
        <v>4380</v>
      </c>
      <c r="K968" s="173">
        <v>4380</v>
      </c>
      <c r="L968" s="187"/>
      <c r="M968" s="52"/>
      <c r="N968" s="71"/>
      <c r="O968" s="71"/>
      <c r="P968" s="370"/>
      <c r="Q968" s="371"/>
    </row>
    <row r="969" spans="1:17" ht="14.25" customHeight="1" hidden="1">
      <c r="A969" s="270" t="s">
        <v>8</v>
      </c>
      <c r="B969" s="48" t="s">
        <v>134</v>
      </c>
      <c r="C969" s="49" t="s">
        <v>128</v>
      </c>
      <c r="D969" s="49" t="s">
        <v>135</v>
      </c>
      <c r="E969" s="49" t="s">
        <v>132</v>
      </c>
      <c r="F969" s="51" t="s">
        <v>133</v>
      </c>
      <c r="G969" s="71">
        <f>G970+G989</f>
        <v>0</v>
      </c>
      <c r="H969" s="52">
        <f>H970+H989</f>
        <v>0</v>
      </c>
      <c r="I969" s="52">
        <f>I970+I989</f>
        <v>0</v>
      </c>
      <c r="J969" s="71">
        <f>J970+J989</f>
        <v>0</v>
      </c>
      <c r="K969" s="173">
        <f>K970+K989</f>
        <v>0</v>
      </c>
      <c r="L969" s="187"/>
      <c r="M969" s="52"/>
      <c r="N969" s="71"/>
      <c r="O969" s="71"/>
      <c r="P969" s="370"/>
      <c r="Q969" s="371"/>
    </row>
    <row r="970" spans="1:17" ht="14.25" customHeight="1" hidden="1">
      <c r="A970" s="270" t="s">
        <v>8</v>
      </c>
      <c r="B970" s="48" t="s">
        <v>134</v>
      </c>
      <c r="C970" s="49" t="s">
        <v>128</v>
      </c>
      <c r="D970" s="49" t="s">
        <v>135</v>
      </c>
      <c r="E970" s="49" t="s">
        <v>9</v>
      </c>
      <c r="F970" s="51" t="s">
        <v>133</v>
      </c>
      <c r="G970" s="71">
        <f>G971</f>
        <v>0</v>
      </c>
      <c r="H970" s="52">
        <f>H971</f>
        <v>0</v>
      </c>
      <c r="I970" s="52">
        <f>I971</f>
        <v>0</v>
      </c>
      <c r="J970" s="71">
        <f>J971</f>
        <v>0</v>
      </c>
      <c r="K970" s="173">
        <f>K971</f>
        <v>0</v>
      </c>
      <c r="L970" s="187"/>
      <c r="M970" s="52"/>
      <c r="N970" s="71"/>
      <c r="O970" s="71"/>
      <c r="P970" s="370"/>
      <c r="Q970" s="371"/>
    </row>
    <row r="971" spans="1:17" ht="14.25" customHeight="1" hidden="1">
      <c r="A971" s="270" t="s">
        <v>8</v>
      </c>
      <c r="B971" s="48" t="s">
        <v>134</v>
      </c>
      <c r="C971" s="49" t="s">
        <v>128</v>
      </c>
      <c r="D971" s="49" t="s">
        <v>135</v>
      </c>
      <c r="E971" s="49" t="s">
        <v>9</v>
      </c>
      <c r="F971" s="51" t="s">
        <v>333</v>
      </c>
      <c r="G971" s="71">
        <f>G972+G976+G984+G983</f>
        <v>0</v>
      </c>
      <c r="H971" s="52">
        <f>H972+H976+H984+H983</f>
        <v>0</v>
      </c>
      <c r="I971" s="52">
        <f>I972+I976+I984+I983</f>
        <v>0</v>
      </c>
      <c r="J971" s="71">
        <f>J972+J976+J984+J983</f>
        <v>0</v>
      </c>
      <c r="K971" s="173">
        <f>K972+K976+K984+K983</f>
        <v>0</v>
      </c>
      <c r="L971" s="187"/>
      <c r="M971" s="52"/>
      <c r="N971" s="71"/>
      <c r="O971" s="71"/>
      <c r="P971" s="370"/>
      <c r="Q971" s="371"/>
    </row>
    <row r="972" spans="1:17" ht="14.25" customHeight="1" hidden="1">
      <c r="A972" s="270" t="s">
        <v>8</v>
      </c>
      <c r="B972" s="48" t="s">
        <v>134</v>
      </c>
      <c r="C972" s="49" t="s">
        <v>128</v>
      </c>
      <c r="D972" s="49" t="s">
        <v>135</v>
      </c>
      <c r="E972" s="49" t="s">
        <v>9</v>
      </c>
      <c r="F972" s="51" t="s">
        <v>333</v>
      </c>
      <c r="G972" s="71">
        <f>G973+G974+G975</f>
        <v>0</v>
      </c>
      <c r="H972" s="52">
        <f>H973+H974+H975</f>
        <v>0</v>
      </c>
      <c r="I972" s="52">
        <f>I973+I974+I975</f>
        <v>0</v>
      </c>
      <c r="J972" s="71">
        <f>J973+J974+J975</f>
        <v>0</v>
      </c>
      <c r="K972" s="173">
        <f>K973+K974+K975</f>
        <v>0</v>
      </c>
      <c r="L972" s="187"/>
      <c r="M972" s="52"/>
      <c r="N972" s="71"/>
      <c r="O972" s="71"/>
      <c r="P972" s="370"/>
      <c r="Q972" s="371"/>
    </row>
    <row r="973" spans="1:17" ht="14.25" customHeight="1" hidden="1">
      <c r="A973" s="270" t="s">
        <v>8</v>
      </c>
      <c r="B973" s="48" t="s">
        <v>134</v>
      </c>
      <c r="C973" s="49" t="s">
        <v>128</v>
      </c>
      <c r="D973" s="49" t="s">
        <v>135</v>
      </c>
      <c r="E973" s="49" t="s">
        <v>9</v>
      </c>
      <c r="F973" s="51" t="s">
        <v>333</v>
      </c>
      <c r="G973" s="71"/>
      <c r="H973" s="52"/>
      <c r="I973" s="52"/>
      <c r="J973" s="71"/>
      <c r="K973" s="173"/>
      <c r="L973" s="187"/>
      <c r="M973" s="52"/>
      <c r="N973" s="71"/>
      <c r="O973" s="71"/>
      <c r="P973" s="370"/>
      <c r="Q973" s="371"/>
    </row>
    <row r="974" spans="1:17" ht="14.25" customHeight="1" hidden="1">
      <c r="A974" s="270" t="s">
        <v>8</v>
      </c>
      <c r="B974" s="48" t="s">
        <v>134</v>
      </c>
      <c r="C974" s="49" t="s">
        <v>128</v>
      </c>
      <c r="D974" s="49" t="s">
        <v>135</v>
      </c>
      <c r="E974" s="49" t="s">
        <v>9</v>
      </c>
      <c r="F974" s="51" t="s">
        <v>333</v>
      </c>
      <c r="G974" s="71"/>
      <c r="H974" s="52"/>
      <c r="I974" s="52"/>
      <c r="J974" s="71"/>
      <c r="K974" s="173"/>
      <c r="L974" s="187"/>
      <c r="M974" s="52"/>
      <c r="N974" s="71"/>
      <c r="O974" s="71"/>
      <c r="P974" s="370"/>
      <c r="Q974" s="371"/>
    </row>
    <row r="975" spans="1:17" ht="14.25" customHeight="1" hidden="1">
      <c r="A975" s="270" t="s">
        <v>8</v>
      </c>
      <c r="B975" s="48" t="s">
        <v>134</v>
      </c>
      <c r="C975" s="49" t="s">
        <v>128</v>
      </c>
      <c r="D975" s="49" t="s">
        <v>135</v>
      </c>
      <c r="E975" s="49" t="s">
        <v>9</v>
      </c>
      <c r="F975" s="51" t="s">
        <v>333</v>
      </c>
      <c r="G975" s="71"/>
      <c r="H975" s="52"/>
      <c r="I975" s="52"/>
      <c r="J975" s="71"/>
      <c r="K975" s="173"/>
      <c r="L975" s="187"/>
      <c r="M975" s="52"/>
      <c r="N975" s="71"/>
      <c r="O975" s="71"/>
      <c r="P975" s="370"/>
      <c r="Q975" s="371"/>
    </row>
    <row r="976" spans="1:17" ht="14.25" customHeight="1" hidden="1">
      <c r="A976" s="270" t="s">
        <v>8</v>
      </c>
      <c r="B976" s="48" t="s">
        <v>134</v>
      </c>
      <c r="C976" s="49" t="s">
        <v>128</v>
      </c>
      <c r="D976" s="49" t="s">
        <v>135</v>
      </c>
      <c r="E976" s="49" t="s">
        <v>9</v>
      </c>
      <c r="F976" s="51" t="s">
        <v>333</v>
      </c>
      <c r="G976" s="71">
        <f>G977+G978+G979+G980+G981+G982</f>
        <v>0</v>
      </c>
      <c r="H976" s="52">
        <f>H977+H978+H979+H980+H981+H982</f>
        <v>0</v>
      </c>
      <c r="I976" s="52">
        <f>I977+I978+I979+I980+I981+I982</f>
        <v>0</v>
      </c>
      <c r="J976" s="71">
        <f>J977+J978+J979+J980+J981+J982</f>
        <v>0</v>
      </c>
      <c r="K976" s="173">
        <f>K977+K978+K979+K980+K981+K982</f>
        <v>0</v>
      </c>
      <c r="L976" s="187"/>
      <c r="M976" s="52"/>
      <c r="N976" s="71"/>
      <c r="O976" s="71"/>
      <c r="P976" s="370"/>
      <c r="Q976" s="371"/>
    </row>
    <row r="977" spans="1:17" ht="14.25" customHeight="1" hidden="1">
      <c r="A977" s="270" t="s">
        <v>8</v>
      </c>
      <c r="B977" s="48" t="s">
        <v>134</v>
      </c>
      <c r="C977" s="49" t="s">
        <v>128</v>
      </c>
      <c r="D977" s="49" t="s">
        <v>135</v>
      </c>
      <c r="E977" s="49" t="s">
        <v>9</v>
      </c>
      <c r="F977" s="51" t="s">
        <v>333</v>
      </c>
      <c r="G977" s="71"/>
      <c r="H977" s="52"/>
      <c r="I977" s="52"/>
      <c r="J977" s="71"/>
      <c r="K977" s="173"/>
      <c r="L977" s="187"/>
      <c r="M977" s="52"/>
      <c r="N977" s="71"/>
      <c r="O977" s="71"/>
      <c r="P977" s="370"/>
      <c r="Q977" s="371"/>
    </row>
    <row r="978" spans="1:17" ht="14.25" customHeight="1" hidden="1">
      <c r="A978" s="270" t="s">
        <v>8</v>
      </c>
      <c r="B978" s="48" t="s">
        <v>134</v>
      </c>
      <c r="C978" s="49" t="s">
        <v>128</v>
      </c>
      <c r="D978" s="49" t="s">
        <v>135</v>
      </c>
      <c r="E978" s="49" t="s">
        <v>9</v>
      </c>
      <c r="F978" s="51" t="s">
        <v>333</v>
      </c>
      <c r="G978" s="71"/>
      <c r="H978" s="52"/>
      <c r="I978" s="52"/>
      <c r="J978" s="71"/>
      <c r="K978" s="173"/>
      <c r="L978" s="187"/>
      <c r="M978" s="52"/>
      <c r="N978" s="71"/>
      <c r="O978" s="71"/>
      <c r="P978" s="370"/>
      <c r="Q978" s="371"/>
    </row>
    <row r="979" spans="1:17" ht="14.25" customHeight="1" hidden="1">
      <c r="A979" s="270" t="s">
        <v>8</v>
      </c>
      <c r="B979" s="48" t="s">
        <v>134</v>
      </c>
      <c r="C979" s="49" t="s">
        <v>128</v>
      </c>
      <c r="D979" s="49" t="s">
        <v>135</v>
      </c>
      <c r="E979" s="49" t="s">
        <v>9</v>
      </c>
      <c r="F979" s="51" t="s">
        <v>333</v>
      </c>
      <c r="G979" s="71"/>
      <c r="H979" s="52"/>
      <c r="I979" s="52"/>
      <c r="J979" s="71"/>
      <c r="K979" s="173"/>
      <c r="L979" s="187"/>
      <c r="M979" s="52"/>
      <c r="N979" s="71"/>
      <c r="O979" s="71"/>
      <c r="P979" s="370"/>
      <c r="Q979" s="371"/>
    </row>
    <row r="980" spans="1:17" ht="14.25" customHeight="1" hidden="1">
      <c r="A980" s="270" t="s">
        <v>8</v>
      </c>
      <c r="B980" s="48" t="s">
        <v>134</v>
      </c>
      <c r="C980" s="49" t="s">
        <v>128</v>
      </c>
      <c r="D980" s="49" t="s">
        <v>135</v>
      </c>
      <c r="E980" s="49" t="s">
        <v>9</v>
      </c>
      <c r="F980" s="51" t="s">
        <v>333</v>
      </c>
      <c r="G980" s="71"/>
      <c r="H980" s="52"/>
      <c r="I980" s="52"/>
      <c r="J980" s="71"/>
      <c r="K980" s="173"/>
      <c r="L980" s="187"/>
      <c r="M980" s="52"/>
      <c r="N980" s="71"/>
      <c r="O980" s="71"/>
      <c r="P980" s="370"/>
      <c r="Q980" s="371"/>
    </row>
    <row r="981" spans="1:17" ht="14.25" customHeight="1" hidden="1">
      <c r="A981" s="270" t="s">
        <v>8</v>
      </c>
      <c r="B981" s="48" t="s">
        <v>134</v>
      </c>
      <c r="C981" s="49" t="s">
        <v>128</v>
      </c>
      <c r="D981" s="49" t="s">
        <v>135</v>
      </c>
      <c r="E981" s="49" t="s">
        <v>9</v>
      </c>
      <c r="F981" s="51" t="s">
        <v>333</v>
      </c>
      <c r="G981" s="71"/>
      <c r="H981" s="52"/>
      <c r="I981" s="52"/>
      <c r="J981" s="71"/>
      <c r="K981" s="173"/>
      <c r="L981" s="187"/>
      <c r="M981" s="52"/>
      <c r="N981" s="71"/>
      <c r="O981" s="71"/>
      <c r="P981" s="370"/>
      <c r="Q981" s="371"/>
    </row>
    <row r="982" spans="1:17" ht="14.25" customHeight="1" hidden="1">
      <c r="A982" s="270" t="s">
        <v>8</v>
      </c>
      <c r="B982" s="48" t="s">
        <v>134</v>
      </c>
      <c r="C982" s="49" t="s">
        <v>128</v>
      </c>
      <c r="D982" s="49" t="s">
        <v>135</v>
      </c>
      <c r="E982" s="49" t="s">
        <v>9</v>
      </c>
      <c r="F982" s="51" t="s">
        <v>333</v>
      </c>
      <c r="G982" s="71"/>
      <c r="H982" s="52"/>
      <c r="I982" s="52"/>
      <c r="J982" s="71"/>
      <c r="K982" s="173"/>
      <c r="L982" s="187"/>
      <c r="M982" s="52"/>
      <c r="N982" s="71"/>
      <c r="O982" s="71"/>
      <c r="P982" s="370"/>
      <c r="Q982" s="371"/>
    </row>
    <row r="983" spans="1:17" ht="14.25" customHeight="1" hidden="1">
      <c r="A983" s="270" t="s">
        <v>8</v>
      </c>
      <c r="B983" s="48" t="s">
        <v>134</v>
      </c>
      <c r="C983" s="49" t="s">
        <v>128</v>
      </c>
      <c r="D983" s="49" t="s">
        <v>135</v>
      </c>
      <c r="E983" s="49" t="s">
        <v>9</v>
      </c>
      <c r="F983" s="51" t="s">
        <v>333</v>
      </c>
      <c r="G983" s="71"/>
      <c r="H983" s="52"/>
      <c r="I983" s="52"/>
      <c r="J983" s="71"/>
      <c r="K983" s="173"/>
      <c r="L983" s="187"/>
      <c r="M983" s="52"/>
      <c r="N983" s="71"/>
      <c r="O983" s="71"/>
      <c r="P983" s="370"/>
      <c r="Q983" s="371"/>
    </row>
    <row r="984" spans="1:17" ht="14.25" customHeight="1" hidden="1">
      <c r="A984" s="270" t="s">
        <v>8</v>
      </c>
      <c r="B984" s="48" t="s">
        <v>134</v>
      </c>
      <c r="C984" s="49" t="s">
        <v>128</v>
      </c>
      <c r="D984" s="49" t="s">
        <v>135</v>
      </c>
      <c r="E984" s="49" t="s">
        <v>9</v>
      </c>
      <c r="F984" s="51" t="s">
        <v>333</v>
      </c>
      <c r="G984" s="71">
        <f>G985+G986</f>
        <v>0</v>
      </c>
      <c r="H984" s="52">
        <f>H985+H986</f>
        <v>0</v>
      </c>
      <c r="I984" s="52">
        <f>I985+I986</f>
        <v>0</v>
      </c>
      <c r="J984" s="71">
        <f>J985+J986</f>
        <v>0</v>
      </c>
      <c r="K984" s="173">
        <f>K985+K986</f>
        <v>0</v>
      </c>
      <c r="L984" s="187"/>
      <c r="M984" s="52"/>
      <c r="N984" s="71"/>
      <c r="O984" s="71"/>
      <c r="P984" s="370"/>
      <c r="Q984" s="371"/>
    </row>
    <row r="985" spans="1:17" ht="14.25" customHeight="1" hidden="1">
      <c r="A985" s="270" t="s">
        <v>8</v>
      </c>
      <c r="B985" s="48" t="s">
        <v>134</v>
      </c>
      <c r="C985" s="49" t="s">
        <v>128</v>
      </c>
      <c r="D985" s="49" t="s">
        <v>135</v>
      </c>
      <c r="E985" s="49" t="s">
        <v>9</v>
      </c>
      <c r="F985" s="51" t="s">
        <v>333</v>
      </c>
      <c r="G985" s="71"/>
      <c r="H985" s="52"/>
      <c r="I985" s="52"/>
      <c r="J985" s="71"/>
      <c r="K985" s="173"/>
      <c r="L985" s="187"/>
      <c r="M985" s="52"/>
      <c r="N985" s="71"/>
      <c r="O985" s="71"/>
      <c r="P985" s="370"/>
      <c r="Q985" s="371"/>
    </row>
    <row r="986" spans="1:17" ht="14.25" customHeight="1" hidden="1">
      <c r="A986" s="270" t="s">
        <v>8</v>
      </c>
      <c r="B986" s="48" t="s">
        <v>134</v>
      </c>
      <c r="C986" s="49" t="s">
        <v>128</v>
      </c>
      <c r="D986" s="49" t="s">
        <v>135</v>
      </c>
      <c r="E986" s="49" t="s">
        <v>9</v>
      </c>
      <c r="F986" s="51" t="s">
        <v>333</v>
      </c>
      <c r="G986" s="71"/>
      <c r="H986" s="52"/>
      <c r="I986" s="52"/>
      <c r="J986" s="71"/>
      <c r="K986" s="173"/>
      <c r="L986" s="187"/>
      <c r="M986" s="52"/>
      <c r="N986" s="71"/>
      <c r="O986" s="71"/>
      <c r="P986" s="370"/>
      <c r="Q986" s="371"/>
    </row>
    <row r="987" spans="1:17" ht="14.25" customHeight="1" hidden="1">
      <c r="A987" s="270"/>
      <c r="B987" s="48" t="s">
        <v>134</v>
      </c>
      <c r="C987" s="49"/>
      <c r="D987" s="49"/>
      <c r="E987" s="49"/>
      <c r="F987" s="51"/>
      <c r="G987" s="71"/>
      <c r="H987" s="52"/>
      <c r="I987" s="52"/>
      <c r="J987" s="71"/>
      <c r="K987" s="173"/>
      <c r="L987" s="187"/>
      <c r="M987" s="52"/>
      <c r="N987" s="71"/>
      <c r="O987" s="71"/>
      <c r="P987" s="370"/>
      <c r="Q987" s="371"/>
    </row>
    <row r="988" spans="1:17" ht="14.25" customHeight="1" hidden="1">
      <c r="A988" s="270"/>
      <c r="B988" s="48" t="s">
        <v>134</v>
      </c>
      <c r="C988" s="49"/>
      <c r="D988" s="49"/>
      <c r="E988" s="49"/>
      <c r="F988" s="51"/>
      <c r="G988" s="71"/>
      <c r="H988" s="52"/>
      <c r="I988" s="52"/>
      <c r="J988" s="71"/>
      <c r="K988" s="173"/>
      <c r="L988" s="187"/>
      <c r="M988" s="52"/>
      <c r="N988" s="71"/>
      <c r="O988" s="71"/>
      <c r="P988" s="370"/>
      <c r="Q988" s="371"/>
    </row>
    <row r="989" spans="1:17" ht="14.25" customHeight="1" hidden="1">
      <c r="A989" s="270" t="s">
        <v>10</v>
      </c>
      <c r="B989" s="48" t="s">
        <v>134</v>
      </c>
      <c r="C989" s="49" t="s">
        <v>128</v>
      </c>
      <c r="D989" s="49" t="s">
        <v>135</v>
      </c>
      <c r="E989" s="49" t="s">
        <v>11</v>
      </c>
      <c r="F989" s="51" t="s">
        <v>194</v>
      </c>
      <c r="G989" s="71">
        <f>G990</f>
        <v>0</v>
      </c>
      <c r="H989" s="52">
        <f>H990</f>
        <v>0</v>
      </c>
      <c r="I989" s="52">
        <f>I990</f>
        <v>0</v>
      </c>
      <c r="J989" s="71">
        <f>J990</f>
        <v>0</v>
      </c>
      <c r="K989" s="173">
        <f>K990</f>
        <v>0</v>
      </c>
      <c r="L989" s="187"/>
      <c r="M989" s="52"/>
      <c r="N989" s="71"/>
      <c r="O989" s="71"/>
      <c r="P989" s="370"/>
      <c r="Q989" s="371"/>
    </row>
    <row r="990" spans="1:17" ht="14.25" customHeight="1" hidden="1">
      <c r="A990" s="270" t="s">
        <v>316</v>
      </c>
      <c r="B990" s="48" t="s">
        <v>134</v>
      </c>
      <c r="C990" s="49" t="s">
        <v>128</v>
      </c>
      <c r="D990" s="49" t="s">
        <v>135</v>
      </c>
      <c r="E990" s="49" t="s">
        <v>11</v>
      </c>
      <c r="F990" s="51" t="s">
        <v>333</v>
      </c>
      <c r="G990" s="71">
        <f>G991+G995+G1003+G1002</f>
        <v>0</v>
      </c>
      <c r="H990" s="52">
        <f>H991+H995+H1003+H1002</f>
        <v>0</v>
      </c>
      <c r="I990" s="52">
        <f>I991+I995+I1003+I1002</f>
        <v>0</v>
      </c>
      <c r="J990" s="71">
        <f>J991+J995+J1003+J1002</f>
        <v>0</v>
      </c>
      <c r="K990" s="173">
        <f>K991+K995+K1003+K1002</f>
        <v>0</v>
      </c>
      <c r="L990" s="187"/>
      <c r="M990" s="52"/>
      <c r="N990" s="71"/>
      <c r="O990" s="71"/>
      <c r="P990" s="370"/>
      <c r="Q990" s="371"/>
    </row>
    <row r="991" spans="1:17" ht="14.25" customHeight="1" hidden="1">
      <c r="A991" s="270" t="s">
        <v>142</v>
      </c>
      <c r="B991" s="48" t="s">
        <v>134</v>
      </c>
      <c r="C991" s="49" t="s">
        <v>128</v>
      </c>
      <c r="D991" s="49" t="s">
        <v>135</v>
      </c>
      <c r="E991" s="49" t="s">
        <v>11</v>
      </c>
      <c r="F991" s="51" t="s">
        <v>333</v>
      </c>
      <c r="G991" s="71">
        <f>G992+G993+G994</f>
        <v>0</v>
      </c>
      <c r="H991" s="52">
        <f>H992+H993+H994</f>
        <v>0</v>
      </c>
      <c r="I991" s="52">
        <f>I992+I993+I994</f>
        <v>0</v>
      </c>
      <c r="J991" s="71">
        <f>J992+J993+J994</f>
        <v>0</v>
      </c>
      <c r="K991" s="173">
        <f>K992+K993+K994</f>
        <v>0</v>
      </c>
      <c r="L991" s="187"/>
      <c r="M991" s="52"/>
      <c r="N991" s="71"/>
      <c r="O991" s="71"/>
      <c r="P991" s="370"/>
      <c r="Q991" s="371"/>
    </row>
    <row r="992" spans="1:17" ht="14.25" customHeight="1" hidden="1">
      <c r="A992" s="270" t="s">
        <v>143</v>
      </c>
      <c r="B992" s="48" t="s">
        <v>134</v>
      </c>
      <c r="C992" s="49" t="s">
        <v>128</v>
      </c>
      <c r="D992" s="49" t="s">
        <v>135</v>
      </c>
      <c r="E992" s="49" t="s">
        <v>11</v>
      </c>
      <c r="F992" s="51" t="s">
        <v>333</v>
      </c>
      <c r="G992" s="71"/>
      <c r="H992" s="52"/>
      <c r="I992" s="52"/>
      <c r="J992" s="71"/>
      <c r="K992" s="173"/>
      <c r="L992" s="187"/>
      <c r="M992" s="52"/>
      <c r="N992" s="71"/>
      <c r="O992" s="71"/>
      <c r="P992" s="370"/>
      <c r="Q992" s="371"/>
    </row>
    <row r="993" spans="1:17" ht="14.25" customHeight="1" hidden="1">
      <c r="A993" s="270" t="s">
        <v>144</v>
      </c>
      <c r="B993" s="48" t="s">
        <v>134</v>
      </c>
      <c r="C993" s="49" t="s">
        <v>128</v>
      </c>
      <c r="D993" s="49" t="s">
        <v>135</v>
      </c>
      <c r="E993" s="49" t="s">
        <v>11</v>
      </c>
      <c r="F993" s="51" t="s">
        <v>333</v>
      </c>
      <c r="G993" s="71"/>
      <c r="H993" s="52"/>
      <c r="I993" s="52"/>
      <c r="J993" s="71"/>
      <c r="K993" s="173"/>
      <c r="L993" s="187"/>
      <c r="M993" s="52"/>
      <c r="N993" s="71"/>
      <c r="O993" s="71"/>
      <c r="P993" s="370"/>
      <c r="Q993" s="371"/>
    </row>
    <row r="994" spans="1:17" ht="14.25" customHeight="1" hidden="1">
      <c r="A994" s="270" t="s">
        <v>145</v>
      </c>
      <c r="B994" s="48" t="s">
        <v>134</v>
      </c>
      <c r="C994" s="49" t="s">
        <v>128</v>
      </c>
      <c r="D994" s="49" t="s">
        <v>135</v>
      </c>
      <c r="E994" s="49" t="s">
        <v>11</v>
      </c>
      <c r="F994" s="51" t="s">
        <v>333</v>
      </c>
      <c r="G994" s="71"/>
      <c r="H994" s="52"/>
      <c r="I994" s="52"/>
      <c r="J994" s="71"/>
      <c r="K994" s="173"/>
      <c r="L994" s="187"/>
      <c r="M994" s="52"/>
      <c r="N994" s="71"/>
      <c r="O994" s="71"/>
      <c r="P994" s="370"/>
      <c r="Q994" s="371"/>
    </row>
    <row r="995" spans="1:17" ht="14.25" customHeight="1" hidden="1">
      <c r="A995" s="270" t="s">
        <v>153</v>
      </c>
      <c r="B995" s="48" t="s">
        <v>134</v>
      </c>
      <c r="C995" s="49" t="s">
        <v>128</v>
      </c>
      <c r="D995" s="49" t="s">
        <v>135</v>
      </c>
      <c r="E995" s="49" t="s">
        <v>11</v>
      </c>
      <c r="F995" s="51" t="s">
        <v>333</v>
      </c>
      <c r="G995" s="71">
        <f>G996+G997+G998+G999+G1000+G1001</f>
        <v>0</v>
      </c>
      <c r="H995" s="52">
        <f>H996+H997+H998+H999+H1000+H1001</f>
        <v>0</v>
      </c>
      <c r="I995" s="52">
        <f>I996+I997+I998+I999+I1000+I1001</f>
        <v>0</v>
      </c>
      <c r="J995" s="71">
        <f>J996+J997+J998+J999+J1000+J1001</f>
        <v>0</v>
      </c>
      <c r="K995" s="173">
        <f>K996+K997+K998+K999+K1000+K1001</f>
        <v>0</v>
      </c>
      <c r="L995" s="187"/>
      <c r="M995" s="52"/>
      <c r="N995" s="71"/>
      <c r="O995" s="71"/>
      <c r="P995" s="370"/>
      <c r="Q995" s="371"/>
    </row>
    <row r="996" spans="1:17" ht="14.25" customHeight="1" hidden="1">
      <c r="A996" s="270" t="s">
        <v>154</v>
      </c>
      <c r="B996" s="48" t="s">
        <v>134</v>
      </c>
      <c r="C996" s="49" t="s">
        <v>128</v>
      </c>
      <c r="D996" s="49" t="s">
        <v>135</v>
      </c>
      <c r="E996" s="49" t="s">
        <v>11</v>
      </c>
      <c r="F996" s="51" t="s">
        <v>333</v>
      </c>
      <c r="G996" s="71"/>
      <c r="H996" s="52"/>
      <c r="I996" s="52"/>
      <c r="J996" s="71"/>
      <c r="K996" s="173"/>
      <c r="L996" s="187"/>
      <c r="M996" s="52"/>
      <c r="N996" s="71"/>
      <c r="O996" s="71"/>
      <c r="P996" s="370"/>
      <c r="Q996" s="371"/>
    </row>
    <row r="997" spans="1:17" ht="14.25" customHeight="1" hidden="1">
      <c r="A997" s="270" t="s">
        <v>155</v>
      </c>
      <c r="B997" s="48" t="s">
        <v>134</v>
      </c>
      <c r="C997" s="49" t="s">
        <v>128</v>
      </c>
      <c r="D997" s="49" t="s">
        <v>135</v>
      </c>
      <c r="E997" s="49" t="s">
        <v>11</v>
      </c>
      <c r="F997" s="51" t="s">
        <v>333</v>
      </c>
      <c r="G997" s="71"/>
      <c r="H997" s="52"/>
      <c r="I997" s="52"/>
      <c r="J997" s="71"/>
      <c r="K997" s="173"/>
      <c r="L997" s="187"/>
      <c r="M997" s="52"/>
      <c r="N997" s="71"/>
      <c r="O997" s="71"/>
      <c r="P997" s="370"/>
      <c r="Q997" s="371"/>
    </row>
    <row r="998" spans="1:17" ht="14.25" customHeight="1" hidden="1">
      <c r="A998" s="270" t="s">
        <v>173</v>
      </c>
      <c r="B998" s="48" t="s">
        <v>134</v>
      </c>
      <c r="C998" s="49" t="s">
        <v>128</v>
      </c>
      <c r="D998" s="49" t="s">
        <v>135</v>
      </c>
      <c r="E998" s="49" t="s">
        <v>11</v>
      </c>
      <c r="F998" s="51" t="s">
        <v>333</v>
      </c>
      <c r="G998" s="71"/>
      <c r="H998" s="52"/>
      <c r="I998" s="52"/>
      <c r="J998" s="71"/>
      <c r="K998" s="173"/>
      <c r="L998" s="187"/>
      <c r="M998" s="52"/>
      <c r="N998" s="71"/>
      <c r="O998" s="71"/>
      <c r="P998" s="370"/>
      <c r="Q998" s="371"/>
    </row>
    <row r="999" spans="1:17" ht="14.25" customHeight="1" hidden="1">
      <c r="A999" s="270" t="s">
        <v>174</v>
      </c>
      <c r="B999" s="48" t="s">
        <v>134</v>
      </c>
      <c r="C999" s="49" t="s">
        <v>128</v>
      </c>
      <c r="D999" s="49" t="s">
        <v>135</v>
      </c>
      <c r="E999" s="49" t="s">
        <v>11</v>
      </c>
      <c r="F999" s="51" t="s">
        <v>333</v>
      </c>
      <c r="G999" s="71"/>
      <c r="H999" s="52"/>
      <c r="I999" s="52"/>
      <c r="J999" s="71"/>
      <c r="K999" s="173"/>
      <c r="L999" s="187"/>
      <c r="M999" s="52"/>
      <c r="N999" s="71"/>
      <c r="O999" s="71"/>
      <c r="P999" s="370"/>
      <c r="Q999" s="371"/>
    </row>
    <row r="1000" spans="1:17" ht="14.25" customHeight="1" hidden="1">
      <c r="A1000" s="270" t="s">
        <v>156</v>
      </c>
      <c r="B1000" s="48" t="s">
        <v>134</v>
      </c>
      <c r="C1000" s="49" t="s">
        <v>128</v>
      </c>
      <c r="D1000" s="49" t="s">
        <v>135</v>
      </c>
      <c r="E1000" s="49" t="s">
        <v>11</v>
      </c>
      <c r="F1000" s="51" t="s">
        <v>333</v>
      </c>
      <c r="G1000" s="71"/>
      <c r="H1000" s="52"/>
      <c r="I1000" s="52"/>
      <c r="J1000" s="71"/>
      <c r="K1000" s="173"/>
      <c r="L1000" s="187"/>
      <c r="M1000" s="52"/>
      <c r="N1000" s="71"/>
      <c r="O1000" s="71"/>
      <c r="P1000" s="370"/>
      <c r="Q1000" s="371"/>
    </row>
    <row r="1001" spans="1:17" ht="14.25" customHeight="1" hidden="1">
      <c r="A1001" s="270" t="s">
        <v>157</v>
      </c>
      <c r="B1001" s="48" t="s">
        <v>134</v>
      </c>
      <c r="C1001" s="49" t="s">
        <v>128</v>
      </c>
      <c r="D1001" s="49" t="s">
        <v>135</v>
      </c>
      <c r="E1001" s="49" t="s">
        <v>11</v>
      </c>
      <c r="F1001" s="51" t="s">
        <v>333</v>
      </c>
      <c r="G1001" s="71"/>
      <c r="H1001" s="52"/>
      <c r="I1001" s="52"/>
      <c r="J1001" s="71"/>
      <c r="K1001" s="173"/>
      <c r="L1001" s="187"/>
      <c r="M1001" s="52"/>
      <c r="N1001" s="71"/>
      <c r="O1001" s="71"/>
      <c r="P1001" s="370"/>
      <c r="Q1001" s="371"/>
    </row>
    <row r="1002" spans="1:17" ht="14.25" customHeight="1" hidden="1">
      <c r="A1002" s="270" t="s">
        <v>309</v>
      </c>
      <c r="B1002" s="48" t="s">
        <v>134</v>
      </c>
      <c r="C1002" s="49" t="s">
        <v>128</v>
      </c>
      <c r="D1002" s="49" t="s">
        <v>135</v>
      </c>
      <c r="E1002" s="49" t="s">
        <v>11</v>
      </c>
      <c r="F1002" s="51" t="s">
        <v>333</v>
      </c>
      <c r="G1002" s="71"/>
      <c r="H1002" s="52"/>
      <c r="I1002" s="52"/>
      <c r="J1002" s="71"/>
      <c r="K1002" s="173"/>
      <c r="L1002" s="187"/>
      <c r="M1002" s="52"/>
      <c r="N1002" s="71"/>
      <c r="O1002" s="71"/>
      <c r="P1002" s="370"/>
      <c r="Q1002" s="371"/>
    </row>
    <row r="1003" spans="1:17" ht="14.25" customHeight="1" hidden="1">
      <c r="A1003" s="270" t="s">
        <v>159</v>
      </c>
      <c r="B1003" s="48" t="s">
        <v>134</v>
      </c>
      <c r="C1003" s="49" t="s">
        <v>128</v>
      </c>
      <c r="D1003" s="49" t="s">
        <v>135</v>
      </c>
      <c r="E1003" s="49" t="s">
        <v>11</v>
      </c>
      <c r="F1003" s="51" t="s">
        <v>333</v>
      </c>
      <c r="G1003" s="71">
        <f>G1004+G1005</f>
        <v>0</v>
      </c>
      <c r="H1003" s="52">
        <f>H1004+H1005</f>
        <v>0</v>
      </c>
      <c r="I1003" s="52">
        <f>I1004+I1005</f>
        <v>0</v>
      </c>
      <c r="J1003" s="71">
        <f>J1004+J1005</f>
        <v>0</v>
      </c>
      <c r="K1003" s="173">
        <f>K1004+K1005</f>
        <v>0</v>
      </c>
      <c r="L1003" s="187"/>
      <c r="M1003" s="52"/>
      <c r="N1003" s="71"/>
      <c r="O1003" s="71"/>
      <c r="P1003" s="370"/>
      <c r="Q1003" s="371"/>
    </row>
    <row r="1004" spans="1:17" ht="14.25" customHeight="1" hidden="1">
      <c r="A1004" s="270" t="s">
        <v>160</v>
      </c>
      <c r="B1004" s="48" t="s">
        <v>134</v>
      </c>
      <c r="C1004" s="49" t="s">
        <v>128</v>
      </c>
      <c r="D1004" s="49" t="s">
        <v>135</v>
      </c>
      <c r="E1004" s="49" t="s">
        <v>11</v>
      </c>
      <c r="F1004" s="51" t="s">
        <v>333</v>
      </c>
      <c r="G1004" s="71"/>
      <c r="H1004" s="52"/>
      <c r="I1004" s="52"/>
      <c r="J1004" s="71"/>
      <c r="K1004" s="173"/>
      <c r="L1004" s="187"/>
      <c r="M1004" s="52"/>
      <c r="N1004" s="71"/>
      <c r="O1004" s="71"/>
      <c r="P1004" s="370"/>
      <c r="Q1004" s="371"/>
    </row>
    <row r="1005" spans="1:17" ht="14.25" customHeight="1" hidden="1">
      <c r="A1005" s="270" t="s">
        <v>161</v>
      </c>
      <c r="B1005" s="48" t="s">
        <v>134</v>
      </c>
      <c r="C1005" s="49" t="s">
        <v>128</v>
      </c>
      <c r="D1005" s="49" t="s">
        <v>135</v>
      </c>
      <c r="E1005" s="49" t="s">
        <v>11</v>
      </c>
      <c r="F1005" s="51" t="s">
        <v>333</v>
      </c>
      <c r="G1005" s="71"/>
      <c r="H1005" s="52"/>
      <c r="I1005" s="52"/>
      <c r="J1005" s="71"/>
      <c r="K1005" s="173"/>
      <c r="L1005" s="187"/>
      <c r="M1005" s="52"/>
      <c r="N1005" s="71"/>
      <c r="O1005" s="71"/>
      <c r="P1005" s="370"/>
      <c r="Q1005" s="371"/>
    </row>
    <row r="1006" spans="1:17" ht="14.25" customHeight="1" hidden="1">
      <c r="A1006" s="270" t="s">
        <v>12</v>
      </c>
      <c r="B1006" s="48" t="s">
        <v>134</v>
      </c>
      <c r="C1006" s="49" t="s">
        <v>128</v>
      </c>
      <c r="D1006" s="49" t="s">
        <v>150</v>
      </c>
      <c r="E1006" s="49" t="s">
        <v>132</v>
      </c>
      <c r="F1006" s="51" t="s">
        <v>133</v>
      </c>
      <c r="G1006" s="71">
        <f>G1007+G1013+G1010</f>
        <v>0</v>
      </c>
      <c r="H1006" s="52">
        <f>H1007+H1013+H1010</f>
        <v>0</v>
      </c>
      <c r="I1006" s="52">
        <f>I1007+I1013+I1010</f>
        <v>0</v>
      </c>
      <c r="J1006" s="71">
        <f>J1007+J1013+J1010</f>
        <v>0</v>
      </c>
      <c r="K1006" s="173">
        <f>K1007+K1013+K1010</f>
        <v>0</v>
      </c>
      <c r="L1006" s="187"/>
      <c r="M1006" s="52"/>
      <c r="N1006" s="71"/>
      <c r="O1006" s="71"/>
      <c r="P1006" s="370"/>
      <c r="Q1006" s="371"/>
    </row>
    <row r="1007" spans="1:17" ht="14.25" customHeight="1" hidden="1">
      <c r="A1007" s="270" t="s">
        <v>13</v>
      </c>
      <c r="B1007" s="48" t="s">
        <v>134</v>
      </c>
      <c r="C1007" s="49" t="s">
        <v>128</v>
      </c>
      <c r="D1007" s="49" t="s">
        <v>150</v>
      </c>
      <c r="E1007" s="49" t="s">
        <v>14</v>
      </c>
      <c r="F1007" s="51" t="s">
        <v>194</v>
      </c>
      <c r="G1007" s="71">
        <f aca="true" t="shared" si="181" ref="G1007:K1008">G1008</f>
        <v>0</v>
      </c>
      <c r="H1007" s="52">
        <f t="shared" si="181"/>
        <v>0</v>
      </c>
      <c r="I1007" s="52">
        <f t="shared" si="181"/>
        <v>0</v>
      </c>
      <c r="J1007" s="71">
        <f t="shared" si="181"/>
        <v>0</v>
      </c>
      <c r="K1007" s="173">
        <f t="shared" si="181"/>
        <v>0</v>
      </c>
      <c r="L1007" s="187"/>
      <c r="M1007" s="52"/>
      <c r="N1007" s="71"/>
      <c r="O1007" s="71"/>
      <c r="P1007" s="370"/>
      <c r="Q1007" s="371"/>
    </row>
    <row r="1008" spans="1:17" ht="14.25" customHeight="1" hidden="1">
      <c r="A1008" s="270" t="s">
        <v>15</v>
      </c>
      <c r="B1008" s="48" t="s">
        <v>134</v>
      </c>
      <c r="C1008" s="49" t="s">
        <v>128</v>
      </c>
      <c r="D1008" s="49" t="s">
        <v>150</v>
      </c>
      <c r="E1008" s="49" t="s">
        <v>14</v>
      </c>
      <c r="F1008" s="51" t="s">
        <v>16</v>
      </c>
      <c r="G1008" s="71">
        <f t="shared" si="181"/>
        <v>0</v>
      </c>
      <c r="H1008" s="52">
        <f t="shared" si="181"/>
        <v>0</v>
      </c>
      <c r="I1008" s="52">
        <f t="shared" si="181"/>
        <v>0</v>
      </c>
      <c r="J1008" s="71">
        <f t="shared" si="181"/>
        <v>0</v>
      </c>
      <c r="K1008" s="173">
        <f t="shared" si="181"/>
        <v>0</v>
      </c>
      <c r="L1008" s="187"/>
      <c r="M1008" s="52"/>
      <c r="N1008" s="71"/>
      <c r="O1008" s="71"/>
      <c r="P1008" s="370"/>
      <c r="Q1008" s="371"/>
    </row>
    <row r="1009" spans="1:17" ht="14.25" customHeight="1" hidden="1">
      <c r="A1009" s="270" t="s">
        <v>352</v>
      </c>
      <c r="B1009" s="48" t="s">
        <v>134</v>
      </c>
      <c r="C1009" s="49" t="s">
        <v>128</v>
      </c>
      <c r="D1009" s="49" t="s">
        <v>150</v>
      </c>
      <c r="E1009" s="49" t="s">
        <v>14</v>
      </c>
      <c r="F1009" s="51" t="s">
        <v>16</v>
      </c>
      <c r="G1009" s="71"/>
      <c r="H1009" s="52"/>
      <c r="I1009" s="52"/>
      <c r="J1009" s="71"/>
      <c r="K1009" s="173"/>
      <c r="L1009" s="187"/>
      <c r="M1009" s="52"/>
      <c r="N1009" s="71"/>
      <c r="O1009" s="71"/>
      <c r="P1009" s="370"/>
      <c r="Q1009" s="371"/>
    </row>
    <row r="1010" spans="1:17" ht="14.25" customHeight="1" hidden="1">
      <c r="A1010" s="270" t="s">
        <v>17</v>
      </c>
      <c r="B1010" s="48" t="s">
        <v>134</v>
      </c>
      <c r="C1010" s="49" t="s">
        <v>128</v>
      </c>
      <c r="D1010" s="49" t="s">
        <v>150</v>
      </c>
      <c r="E1010" s="49" t="s">
        <v>18</v>
      </c>
      <c r="F1010" s="51" t="s">
        <v>133</v>
      </c>
      <c r="G1010" s="71">
        <f aca="true" t="shared" si="182" ref="G1010:K1011">G1011</f>
        <v>0</v>
      </c>
      <c r="H1010" s="52">
        <f t="shared" si="182"/>
        <v>0</v>
      </c>
      <c r="I1010" s="52">
        <f t="shared" si="182"/>
        <v>0</v>
      </c>
      <c r="J1010" s="71">
        <f t="shared" si="182"/>
        <v>0</v>
      </c>
      <c r="K1010" s="173">
        <f t="shared" si="182"/>
        <v>0</v>
      </c>
      <c r="L1010" s="187"/>
      <c r="M1010" s="52"/>
      <c r="N1010" s="71"/>
      <c r="O1010" s="71"/>
      <c r="P1010" s="370"/>
      <c r="Q1010" s="371"/>
    </row>
    <row r="1011" spans="1:17" ht="14.25" customHeight="1" hidden="1">
      <c r="A1011" s="270" t="s">
        <v>19</v>
      </c>
      <c r="B1011" s="48" t="s">
        <v>134</v>
      </c>
      <c r="C1011" s="49" t="s">
        <v>128</v>
      </c>
      <c r="D1011" s="49" t="s">
        <v>150</v>
      </c>
      <c r="E1011" s="49" t="s">
        <v>18</v>
      </c>
      <c r="F1011" s="51" t="s">
        <v>20</v>
      </c>
      <c r="G1011" s="71">
        <f t="shared" si="182"/>
        <v>0</v>
      </c>
      <c r="H1011" s="52">
        <f t="shared" si="182"/>
        <v>0</v>
      </c>
      <c r="I1011" s="52">
        <f t="shared" si="182"/>
        <v>0</v>
      </c>
      <c r="J1011" s="71">
        <f t="shared" si="182"/>
        <v>0</v>
      </c>
      <c r="K1011" s="173">
        <f t="shared" si="182"/>
        <v>0</v>
      </c>
      <c r="L1011" s="187"/>
      <c r="M1011" s="52"/>
      <c r="N1011" s="71"/>
      <c r="O1011" s="71"/>
      <c r="P1011" s="370"/>
      <c r="Q1011" s="371"/>
    </row>
    <row r="1012" spans="1:17" ht="14.25" customHeight="1" hidden="1">
      <c r="A1012" s="270" t="s">
        <v>21</v>
      </c>
      <c r="B1012" s="48" t="s">
        <v>134</v>
      </c>
      <c r="C1012" s="49" t="s">
        <v>128</v>
      </c>
      <c r="D1012" s="49" t="s">
        <v>150</v>
      </c>
      <c r="E1012" s="49" t="s">
        <v>18</v>
      </c>
      <c r="F1012" s="51" t="s">
        <v>20</v>
      </c>
      <c r="G1012" s="71"/>
      <c r="H1012" s="52"/>
      <c r="I1012" s="52"/>
      <c r="J1012" s="71"/>
      <c r="K1012" s="173"/>
      <c r="L1012" s="187"/>
      <c r="M1012" s="52"/>
      <c r="N1012" s="71"/>
      <c r="O1012" s="71"/>
      <c r="P1012" s="370"/>
      <c r="Q1012" s="371"/>
    </row>
    <row r="1013" spans="1:17" ht="14.25" customHeight="1" hidden="1">
      <c r="A1013" s="270" t="s">
        <v>22</v>
      </c>
      <c r="B1013" s="48" t="s">
        <v>134</v>
      </c>
      <c r="C1013" s="49" t="s">
        <v>128</v>
      </c>
      <c r="D1013" s="49" t="s">
        <v>150</v>
      </c>
      <c r="E1013" s="49" t="s">
        <v>255</v>
      </c>
      <c r="F1013" s="51" t="s">
        <v>133</v>
      </c>
      <c r="G1013" s="71">
        <f>G1014</f>
        <v>0</v>
      </c>
      <c r="H1013" s="52">
        <f>H1014</f>
        <v>0</v>
      </c>
      <c r="I1013" s="52">
        <f>I1014</f>
        <v>0</v>
      </c>
      <c r="J1013" s="71">
        <f>J1014</f>
        <v>0</v>
      </c>
      <c r="K1013" s="173">
        <f>K1014</f>
        <v>0</v>
      </c>
      <c r="L1013" s="187"/>
      <c r="M1013" s="52"/>
      <c r="N1013" s="71"/>
      <c r="O1013" s="71"/>
      <c r="P1013" s="370"/>
      <c r="Q1013" s="371"/>
    </row>
    <row r="1014" spans="1:17" ht="14.25" customHeight="1" hidden="1">
      <c r="A1014" s="270" t="s">
        <v>23</v>
      </c>
      <c r="B1014" s="48" t="s">
        <v>134</v>
      </c>
      <c r="C1014" s="49" t="s">
        <v>128</v>
      </c>
      <c r="D1014" s="49" t="s">
        <v>150</v>
      </c>
      <c r="E1014" s="49" t="s">
        <v>255</v>
      </c>
      <c r="F1014" s="51" t="s">
        <v>24</v>
      </c>
      <c r="G1014" s="71">
        <f>G1019</f>
        <v>0</v>
      </c>
      <c r="H1014" s="52">
        <f>H1019</f>
        <v>0</v>
      </c>
      <c r="I1014" s="52">
        <f>I1019</f>
        <v>0</v>
      </c>
      <c r="J1014" s="71">
        <f>J1019</f>
        <v>0</v>
      </c>
      <c r="K1014" s="173">
        <f>K1019</f>
        <v>0</v>
      </c>
      <c r="L1014" s="187"/>
      <c r="M1014" s="52"/>
      <c r="N1014" s="71"/>
      <c r="O1014" s="71"/>
      <c r="P1014" s="370"/>
      <c r="Q1014" s="371"/>
    </row>
    <row r="1015" spans="1:17" ht="14.25" customHeight="1" hidden="1">
      <c r="A1015" s="270" t="s">
        <v>12</v>
      </c>
      <c r="B1015" s="48" t="s">
        <v>134</v>
      </c>
      <c r="C1015" s="49" t="s">
        <v>128</v>
      </c>
      <c r="D1015" s="49" t="s">
        <v>150</v>
      </c>
      <c r="E1015" s="49" t="s">
        <v>132</v>
      </c>
      <c r="F1015" s="51" t="s">
        <v>194</v>
      </c>
      <c r="G1015" s="71">
        <f aca="true" t="shared" si="183" ref="G1015:K1017">G1016</f>
        <v>0</v>
      </c>
      <c r="H1015" s="52">
        <f t="shared" si="183"/>
        <v>0</v>
      </c>
      <c r="I1015" s="52">
        <f t="shared" si="183"/>
        <v>0</v>
      </c>
      <c r="J1015" s="71">
        <f t="shared" si="183"/>
        <v>0</v>
      </c>
      <c r="K1015" s="173">
        <f t="shared" si="183"/>
        <v>0</v>
      </c>
      <c r="L1015" s="187"/>
      <c r="M1015" s="52"/>
      <c r="N1015" s="71"/>
      <c r="O1015" s="71"/>
      <c r="P1015" s="370"/>
      <c r="Q1015" s="371"/>
    </row>
    <row r="1016" spans="1:17" ht="14.25" customHeight="1" hidden="1">
      <c r="A1016" s="270" t="s">
        <v>25</v>
      </c>
      <c r="B1016" s="48" t="s">
        <v>134</v>
      </c>
      <c r="C1016" s="49" t="s">
        <v>128</v>
      </c>
      <c r="D1016" s="49" t="s">
        <v>150</v>
      </c>
      <c r="E1016" s="49" t="s">
        <v>26</v>
      </c>
      <c r="F1016" s="51" t="s">
        <v>133</v>
      </c>
      <c r="G1016" s="71">
        <f t="shared" si="183"/>
        <v>0</v>
      </c>
      <c r="H1016" s="52">
        <f t="shared" si="183"/>
        <v>0</v>
      </c>
      <c r="I1016" s="52">
        <f t="shared" si="183"/>
        <v>0</v>
      </c>
      <c r="J1016" s="71">
        <f t="shared" si="183"/>
        <v>0</v>
      </c>
      <c r="K1016" s="173">
        <f t="shared" si="183"/>
        <v>0</v>
      </c>
      <c r="L1016" s="187"/>
      <c r="M1016" s="52"/>
      <c r="N1016" s="71"/>
      <c r="O1016" s="71"/>
      <c r="P1016" s="370"/>
      <c r="Q1016" s="371"/>
    </row>
    <row r="1017" spans="1:17" ht="14.25" customHeight="1" hidden="1">
      <c r="A1017" s="270" t="s">
        <v>27</v>
      </c>
      <c r="B1017" s="48" t="s">
        <v>134</v>
      </c>
      <c r="C1017" s="49" t="s">
        <v>128</v>
      </c>
      <c r="D1017" s="49" t="s">
        <v>150</v>
      </c>
      <c r="E1017" s="49" t="s">
        <v>26</v>
      </c>
      <c r="F1017" s="51" t="s">
        <v>28</v>
      </c>
      <c r="G1017" s="71">
        <f t="shared" si="183"/>
        <v>0</v>
      </c>
      <c r="H1017" s="52">
        <f t="shared" si="183"/>
        <v>0</v>
      </c>
      <c r="I1017" s="52">
        <f t="shared" si="183"/>
        <v>0</v>
      </c>
      <c r="J1017" s="71">
        <f t="shared" si="183"/>
        <v>0</v>
      </c>
      <c r="K1017" s="173">
        <f t="shared" si="183"/>
        <v>0</v>
      </c>
      <c r="L1017" s="187"/>
      <c r="M1017" s="52"/>
      <c r="N1017" s="71"/>
      <c r="O1017" s="71"/>
      <c r="P1017" s="370"/>
      <c r="Q1017" s="371"/>
    </row>
    <row r="1018" spans="1:17" ht="14.25" customHeight="1" hidden="1">
      <c r="A1018" s="270" t="s">
        <v>352</v>
      </c>
      <c r="B1018" s="48" t="s">
        <v>134</v>
      </c>
      <c r="C1018" s="49" t="s">
        <v>128</v>
      </c>
      <c r="D1018" s="49" t="s">
        <v>150</v>
      </c>
      <c r="E1018" s="49" t="s">
        <v>26</v>
      </c>
      <c r="F1018" s="51" t="s">
        <v>28</v>
      </c>
      <c r="G1018" s="71"/>
      <c r="H1018" s="52"/>
      <c r="I1018" s="52"/>
      <c r="J1018" s="71"/>
      <c r="K1018" s="173"/>
      <c r="L1018" s="187"/>
      <c r="M1018" s="52"/>
      <c r="N1018" s="71"/>
      <c r="O1018" s="71"/>
      <c r="P1018" s="370"/>
      <c r="Q1018" s="371"/>
    </row>
    <row r="1019" spans="1:17" ht="14.25" customHeight="1" hidden="1">
      <c r="A1019" s="270" t="s">
        <v>21</v>
      </c>
      <c r="B1019" s="48" t="s">
        <v>134</v>
      </c>
      <c r="C1019" s="49" t="s">
        <v>128</v>
      </c>
      <c r="D1019" s="49" t="s">
        <v>150</v>
      </c>
      <c r="E1019" s="49" t="s">
        <v>255</v>
      </c>
      <c r="F1019" s="51" t="s">
        <v>24</v>
      </c>
      <c r="G1019" s="71"/>
      <c r="H1019" s="52"/>
      <c r="I1019" s="52"/>
      <c r="J1019" s="71"/>
      <c r="K1019" s="173"/>
      <c r="L1019" s="187"/>
      <c r="M1019" s="52"/>
      <c r="N1019" s="71"/>
      <c r="O1019" s="71"/>
      <c r="P1019" s="370"/>
      <c r="Q1019" s="371"/>
    </row>
    <row r="1020" spans="1:17" ht="14.25" customHeight="1" hidden="1">
      <c r="A1020" s="270" t="s">
        <v>29</v>
      </c>
      <c r="B1020" s="48" t="s">
        <v>134</v>
      </c>
      <c r="C1020" s="49" t="s">
        <v>128</v>
      </c>
      <c r="D1020" s="49" t="s">
        <v>171</v>
      </c>
      <c r="E1020" s="49" t="s">
        <v>132</v>
      </c>
      <c r="F1020" s="51" t="s">
        <v>133</v>
      </c>
      <c r="G1020" s="71">
        <f>G1024+G1021</f>
        <v>0</v>
      </c>
      <c r="H1020" s="52">
        <f>H1024+H1021</f>
        <v>0</v>
      </c>
      <c r="I1020" s="52">
        <f>I1024+I1021</f>
        <v>0</v>
      </c>
      <c r="J1020" s="71">
        <f>J1024+J1021</f>
        <v>0</v>
      </c>
      <c r="K1020" s="173">
        <f>K1024+K1021</f>
        <v>0</v>
      </c>
      <c r="L1020" s="187"/>
      <c r="M1020" s="52"/>
      <c r="N1020" s="71"/>
      <c r="O1020" s="71"/>
      <c r="P1020" s="370"/>
      <c r="Q1020" s="371"/>
    </row>
    <row r="1021" spans="1:17" ht="14.25" customHeight="1" hidden="1">
      <c r="A1021" s="270" t="s">
        <v>30</v>
      </c>
      <c r="B1021" s="48" t="s">
        <v>134</v>
      </c>
      <c r="C1021" s="49" t="s">
        <v>128</v>
      </c>
      <c r="D1021" s="49" t="s">
        <v>171</v>
      </c>
      <c r="E1021" s="49" t="s">
        <v>31</v>
      </c>
      <c r="F1021" s="51" t="s">
        <v>133</v>
      </c>
      <c r="G1021" s="71">
        <f aca="true" t="shared" si="184" ref="G1021:K1022">G1022</f>
        <v>0</v>
      </c>
      <c r="H1021" s="52">
        <f t="shared" si="184"/>
        <v>0</v>
      </c>
      <c r="I1021" s="52">
        <f t="shared" si="184"/>
        <v>0</v>
      </c>
      <c r="J1021" s="71">
        <f t="shared" si="184"/>
        <v>0</v>
      </c>
      <c r="K1021" s="173">
        <f t="shared" si="184"/>
        <v>0</v>
      </c>
      <c r="L1021" s="187"/>
      <c r="M1021" s="52"/>
      <c r="N1021" s="71"/>
      <c r="O1021" s="71"/>
      <c r="P1021" s="370"/>
      <c r="Q1021" s="371"/>
    </row>
    <row r="1022" spans="1:17" ht="14.25" customHeight="1" hidden="1">
      <c r="A1022" s="270" t="s">
        <v>32</v>
      </c>
      <c r="B1022" s="48" t="s">
        <v>134</v>
      </c>
      <c r="C1022" s="49" t="s">
        <v>128</v>
      </c>
      <c r="D1022" s="49" t="s">
        <v>171</v>
      </c>
      <c r="E1022" s="49" t="s">
        <v>31</v>
      </c>
      <c r="F1022" s="51" t="s">
        <v>33</v>
      </c>
      <c r="G1022" s="71">
        <f t="shared" si="184"/>
        <v>0</v>
      </c>
      <c r="H1022" s="52">
        <f t="shared" si="184"/>
        <v>0</v>
      </c>
      <c r="I1022" s="52">
        <f t="shared" si="184"/>
        <v>0</v>
      </c>
      <c r="J1022" s="71">
        <f t="shared" si="184"/>
        <v>0</v>
      </c>
      <c r="K1022" s="173">
        <f t="shared" si="184"/>
        <v>0</v>
      </c>
      <c r="L1022" s="187"/>
      <c r="M1022" s="52"/>
      <c r="N1022" s="71"/>
      <c r="O1022" s="71"/>
      <c r="P1022" s="370"/>
      <c r="Q1022" s="371"/>
    </row>
    <row r="1023" spans="1:17" ht="14.25" customHeight="1" hidden="1">
      <c r="A1023" s="270" t="s">
        <v>21</v>
      </c>
      <c r="B1023" s="48" t="s">
        <v>134</v>
      </c>
      <c r="C1023" s="49" t="s">
        <v>128</v>
      </c>
      <c r="D1023" s="49" t="s">
        <v>171</v>
      </c>
      <c r="E1023" s="49" t="s">
        <v>31</v>
      </c>
      <c r="F1023" s="51" t="s">
        <v>33</v>
      </c>
      <c r="G1023" s="71"/>
      <c r="H1023" s="52"/>
      <c r="I1023" s="52"/>
      <c r="J1023" s="71"/>
      <c r="K1023" s="173"/>
      <c r="L1023" s="187"/>
      <c r="M1023" s="52"/>
      <c r="N1023" s="71"/>
      <c r="O1023" s="71"/>
      <c r="P1023" s="370"/>
      <c r="Q1023" s="371"/>
    </row>
    <row r="1024" spans="1:17" ht="14.25" customHeight="1" hidden="1">
      <c r="A1024" s="270" t="s">
        <v>22</v>
      </c>
      <c r="B1024" s="48" t="s">
        <v>134</v>
      </c>
      <c r="C1024" s="49" t="s">
        <v>128</v>
      </c>
      <c r="D1024" s="49" t="s">
        <v>171</v>
      </c>
      <c r="E1024" s="49" t="s">
        <v>255</v>
      </c>
      <c r="F1024" s="51" t="s">
        <v>133</v>
      </c>
      <c r="G1024" s="71">
        <f aca="true" t="shared" si="185" ref="G1024:K1025">G1025</f>
        <v>0</v>
      </c>
      <c r="H1024" s="52">
        <f t="shared" si="185"/>
        <v>0</v>
      </c>
      <c r="I1024" s="52">
        <f t="shared" si="185"/>
        <v>0</v>
      </c>
      <c r="J1024" s="71">
        <f t="shared" si="185"/>
        <v>0</v>
      </c>
      <c r="K1024" s="173">
        <f t="shared" si="185"/>
        <v>0</v>
      </c>
      <c r="L1024" s="187"/>
      <c r="M1024" s="52"/>
      <c r="N1024" s="71"/>
      <c r="O1024" s="71"/>
      <c r="P1024" s="370"/>
      <c r="Q1024" s="371"/>
    </row>
    <row r="1025" spans="1:17" ht="14.25" customHeight="1" hidden="1">
      <c r="A1025" s="270" t="s">
        <v>34</v>
      </c>
      <c r="B1025" s="48" t="s">
        <v>134</v>
      </c>
      <c r="C1025" s="49" t="s">
        <v>128</v>
      </c>
      <c r="D1025" s="49" t="s">
        <v>171</v>
      </c>
      <c r="E1025" s="49" t="s">
        <v>255</v>
      </c>
      <c r="F1025" s="51" t="s">
        <v>35</v>
      </c>
      <c r="G1025" s="71">
        <f t="shared" si="185"/>
        <v>0</v>
      </c>
      <c r="H1025" s="52">
        <f t="shared" si="185"/>
        <v>0</v>
      </c>
      <c r="I1025" s="52">
        <f t="shared" si="185"/>
        <v>0</v>
      </c>
      <c r="J1025" s="71">
        <f t="shared" si="185"/>
        <v>0</v>
      </c>
      <c r="K1025" s="173">
        <f t="shared" si="185"/>
        <v>0</v>
      </c>
      <c r="L1025" s="187"/>
      <c r="M1025" s="52"/>
      <c r="N1025" s="71"/>
      <c r="O1025" s="71"/>
      <c r="P1025" s="370"/>
      <c r="Q1025" s="371"/>
    </row>
    <row r="1026" spans="1:17" ht="14.25" customHeight="1" hidden="1">
      <c r="A1026" s="270" t="s">
        <v>309</v>
      </c>
      <c r="B1026" s="48" t="s">
        <v>134</v>
      </c>
      <c r="C1026" s="49" t="s">
        <v>128</v>
      </c>
      <c r="D1026" s="49" t="s">
        <v>171</v>
      </c>
      <c r="E1026" s="49" t="s">
        <v>255</v>
      </c>
      <c r="F1026" s="51" t="s">
        <v>35</v>
      </c>
      <c r="G1026" s="71"/>
      <c r="H1026" s="52"/>
      <c r="I1026" s="52"/>
      <c r="J1026" s="71"/>
      <c r="K1026" s="173"/>
      <c r="L1026" s="187"/>
      <c r="M1026" s="52"/>
      <c r="N1026" s="71"/>
      <c r="O1026" s="71"/>
      <c r="P1026" s="370"/>
      <c r="Q1026" s="371"/>
    </row>
    <row r="1027" spans="1:17" ht="14.25" customHeight="1" hidden="1">
      <c r="A1027" s="270" t="s">
        <v>36</v>
      </c>
      <c r="B1027" s="48" t="s">
        <v>134</v>
      </c>
      <c r="C1027" s="49" t="s">
        <v>128</v>
      </c>
      <c r="D1027" s="49" t="s">
        <v>184</v>
      </c>
      <c r="E1027" s="49" t="s">
        <v>132</v>
      </c>
      <c r="F1027" s="51" t="s">
        <v>133</v>
      </c>
      <c r="G1027" s="71">
        <f>G1028+G1045</f>
        <v>0</v>
      </c>
      <c r="H1027" s="52">
        <f>H1028+H1045</f>
        <v>0</v>
      </c>
      <c r="I1027" s="52">
        <f>I1028+I1045</f>
        <v>0</v>
      </c>
      <c r="J1027" s="71">
        <f>J1028+J1045</f>
        <v>0</v>
      </c>
      <c r="K1027" s="173">
        <f>K1028+K1045</f>
        <v>0</v>
      </c>
      <c r="L1027" s="187"/>
      <c r="M1027" s="52"/>
      <c r="N1027" s="71"/>
      <c r="O1027" s="71"/>
      <c r="P1027" s="370"/>
      <c r="Q1027" s="371"/>
    </row>
    <row r="1028" spans="1:17" ht="14.25" customHeight="1" hidden="1">
      <c r="A1028" s="270" t="s">
        <v>181</v>
      </c>
      <c r="B1028" s="48" t="s">
        <v>134</v>
      </c>
      <c r="C1028" s="49" t="s">
        <v>128</v>
      </c>
      <c r="D1028" s="49" t="s">
        <v>184</v>
      </c>
      <c r="E1028" s="49" t="s">
        <v>182</v>
      </c>
      <c r="F1028" s="51" t="s">
        <v>133</v>
      </c>
      <c r="G1028" s="71">
        <f>G1029</f>
        <v>0</v>
      </c>
      <c r="H1028" s="52">
        <f>H1029</f>
        <v>0</v>
      </c>
      <c r="I1028" s="52">
        <f>I1029</f>
        <v>0</v>
      </c>
      <c r="J1028" s="71">
        <f>J1029</f>
        <v>0</v>
      </c>
      <c r="K1028" s="173">
        <f>K1029</f>
        <v>0</v>
      </c>
      <c r="L1028" s="187"/>
      <c r="M1028" s="52"/>
      <c r="N1028" s="71"/>
      <c r="O1028" s="71"/>
      <c r="P1028" s="370"/>
      <c r="Q1028" s="371"/>
    </row>
    <row r="1029" spans="1:17" ht="14.25" customHeight="1" hidden="1">
      <c r="A1029" s="270" t="s">
        <v>151</v>
      </c>
      <c r="B1029" s="48" t="s">
        <v>134</v>
      </c>
      <c r="C1029" s="49" t="s">
        <v>128</v>
      </c>
      <c r="D1029" s="49" t="s">
        <v>184</v>
      </c>
      <c r="E1029" s="49" t="s">
        <v>182</v>
      </c>
      <c r="F1029" s="51" t="s">
        <v>335</v>
      </c>
      <c r="G1029" s="71">
        <f>G1030+G1034+G1041+G1042</f>
        <v>0</v>
      </c>
      <c r="H1029" s="52">
        <f>H1030+H1034+H1041+H1042</f>
        <v>0</v>
      </c>
      <c r="I1029" s="52">
        <f>I1030+I1034+I1041+I1042</f>
        <v>0</v>
      </c>
      <c r="J1029" s="71">
        <f>J1030+J1034+J1041+J1042</f>
        <v>0</v>
      </c>
      <c r="K1029" s="173">
        <f>K1030+K1034+K1041+K1042</f>
        <v>0</v>
      </c>
      <c r="L1029" s="187"/>
      <c r="M1029" s="52"/>
      <c r="N1029" s="71"/>
      <c r="O1029" s="71"/>
      <c r="P1029" s="370"/>
      <c r="Q1029" s="371"/>
    </row>
    <row r="1030" spans="1:17" ht="14.25" customHeight="1" hidden="1">
      <c r="A1030" s="270" t="s">
        <v>142</v>
      </c>
      <c r="B1030" s="48" t="s">
        <v>134</v>
      </c>
      <c r="C1030" s="49" t="s">
        <v>128</v>
      </c>
      <c r="D1030" s="49" t="s">
        <v>184</v>
      </c>
      <c r="E1030" s="49" t="s">
        <v>182</v>
      </c>
      <c r="F1030" s="51" t="s">
        <v>335</v>
      </c>
      <c r="G1030" s="71">
        <f>G1031+G1032+G1033</f>
        <v>0</v>
      </c>
      <c r="H1030" s="52">
        <f>H1031+H1032+H1033</f>
        <v>0</v>
      </c>
      <c r="I1030" s="52">
        <f>I1031+I1032+I1033</f>
        <v>0</v>
      </c>
      <c r="J1030" s="71">
        <f>J1031+J1032+J1033</f>
        <v>0</v>
      </c>
      <c r="K1030" s="173">
        <f>K1031+K1032+K1033</f>
        <v>0</v>
      </c>
      <c r="L1030" s="187"/>
      <c r="M1030" s="52"/>
      <c r="N1030" s="71"/>
      <c r="O1030" s="71"/>
      <c r="P1030" s="370"/>
      <c r="Q1030" s="371"/>
    </row>
    <row r="1031" spans="1:17" ht="14.25" customHeight="1" hidden="1">
      <c r="A1031" s="270" t="s">
        <v>143</v>
      </c>
      <c r="B1031" s="48" t="s">
        <v>134</v>
      </c>
      <c r="C1031" s="49" t="s">
        <v>128</v>
      </c>
      <c r="D1031" s="49" t="s">
        <v>184</v>
      </c>
      <c r="E1031" s="49" t="s">
        <v>182</v>
      </c>
      <c r="F1031" s="51" t="s">
        <v>335</v>
      </c>
      <c r="G1031" s="71"/>
      <c r="H1031" s="52"/>
      <c r="I1031" s="52"/>
      <c r="J1031" s="71"/>
      <c r="K1031" s="173"/>
      <c r="L1031" s="187"/>
      <c r="M1031" s="52"/>
      <c r="N1031" s="71"/>
      <c r="O1031" s="71"/>
      <c r="P1031" s="370"/>
      <c r="Q1031" s="371"/>
    </row>
    <row r="1032" spans="1:17" ht="14.25" customHeight="1" hidden="1">
      <c r="A1032" s="270" t="s">
        <v>144</v>
      </c>
      <c r="B1032" s="48" t="s">
        <v>134</v>
      </c>
      <c r="C1032" s="49" t="s">
        <v>128</v>
      </c>
      <c r="D1032" s="49" t="s">
        <v>184</v>
      </c>
      <c r="E1032" s="49" t="s">
        <v>182</v>
      </c>
      <c r="F1032" s="51" t="s">
        <v>335</v>
      </c>
      <c r="G1032" s="71"/>
      <c r="H1032" s="52"/>
      <c r="I1032" s="52"/>
      <c r="J1032" s="71"/>
      <c r="K1032" s="173"/>
      <c r="L1032" s="187"/>
      <c r="M1032" s="52"/>
      <c r="N1032" s="71"/>
      <c r="O1032" s="71"/>
      <c r="P1032" s="370"/>
      <c r="Q1032" s="371"/>
    </row>
    <row r="1033" spans="1:17" ht="14.25" customHeight="1" hidden="1">
      <c r="A1033" s="270" t="s">
        <v>145</v>
      </c>
      <c r="B1033" s="48" t="s">
        <v>134</v>
      </c>
      <c r="C1033" s="49" t="s">
        <v>128</v>
      </c>
      <c r="D1033" s="49" t="s">
        <v>184</v>
      </c>
      <c r="E1033" s="49" t="s">
        <v>182</v>
      </c>
      <c r="F1033" s="51" t="s">
        <v>335</v>
      </c>
      <c r="G1033" s="71"/>
      <c r="H1033" s="52"/>
      <c r="I1033" s="52"/>
      <c r="J1033" s="71"/>
      <c r="K1033" s="173"/>
      <c r="L1033" s="187"/>
      <c r="M1033" s="52"/>
      <c r="N1033" s="71"/>
      <c r="O1033" s="71"/>
      <c r="P1033" s="370"/>
      <c r="Q1033" s="371"/>
    </row>
    <row r="1034" spans="1:17" ht="14.25" customHeight="1" hidden="1">
      <c r="A1034" s="270" t="s">
        <v>153</v>
      </c>
      <c r="B1034" s="48" t="s">
        <v>134</v>
      </c>
      <c r="C1034" s="49" t="s">
        <v>128</v>
      </c>
      <c r="D1034" s="49" t="s">
        <v>184</v>
      </c>
      <c r="E1034" s="49" t="s">
        <v>182</v>
      </c>
      <c r="F1034" s="51" t="s">
        <v>335</v>
      </c>
      <c r="G1034" s="71">
        <f>G1035+G1036+G1037+G1038+G1039+G1040</f>
        <v>0</v>
      </c>
      <c r="H1034" s="52">
        <f>H1035+H1036+H1037+H1038+H1039+H1040</f>
        <v>0</v>
      </c>
      <c r="I1034" s="52">
        <f>I1035+I1036+I1037+I1038+I1039+I1040</f>
        <v>0</v>
      </c>
      <c r="J1034" s="71">
        <f>J1035+J1036+J1037+J1038+J1039+J1040</f>
        <v>0</v>
      </c>
      <c r="K1034" s="173">
        <f>K1035+K1036+K1037+K1038+K1039+K1040</f>
        <v>0</v>
      </c>
      <c r="L1034" s="187"/>
      <c r="M1034" s="52"/>
      <c r="N1034" s="71"/>
      <c r="O1034" s="71"/>
      <c r="P1034" s="370"/>
      <c r="Q1034" s="371"/>
    </row>
    <row r="1035" spans="1:17" ht="14.25" customHeight="1" hidden="1">
      <c r="A1035" s="270" t="s">
        <v>154</v>
      </c>
      <c r="B1035" s="48" t="s">
        <v>134</v>
      </c>
      <c r="C1035" s="49" t="s">
        <v>128</v>
      </c>
      <c r="D1035" s="49" t="s">
        <v>184</v>
      </c>
      <c r="E1035" s="49" t="s">
        <v>182</v>
      </c>
      <c r="F1035" s="51" t="s">
        <v>335</v>
      </c>
      <c r="G1035" s="71"/>
      <c r="H1035" s="52"/>
      <c r="I1035" s="52"/>
      <c r="J1035" s="71"/>
      <c r="K1035" s="173"/>
      <c r="L1035" s="187"/>
      <c r="M1035" s="52"/>
      <c r="N1035" s="71"/>
      <c r="O1035" s="71"/>
      <c r="P1035" s="370"/>
      <c r="Q1035" s="371"/>
    </row>
    <row r="1036" spans="1:17" ht="14.25" customHeight="1" hidden="1">
      <c r="A1036" s="270" t="s">
        <v>155</v>
      </c>
      <c r="B1036" s="48" t="s">
        <v>134</v>
      </c>
      <c r="C1036" s="49" t="s">
        <v>128</v>
      </c>
      <c r="D1036" s="49" t="s">
        <v>184</v>
      </c>
      <c r="E1036" s="49" t="s">
        <v>182</v>
      </c>
      <c r="F1036" s="51" t="s">
        <v>335</v>
      </c>
      <c r="G1036" s="71"/>
      <c r="H1036" s="52"/>
      <c r="I1036" s="52"/>
      <c r="J1036" s="71"/>
      <c r="K1036" s="173"/>
      <c r="L1036" s="187"/>
      <c r="M1036" s="52"/>
      <c r="N1036" s="71"/>
      <c r="O1036" s="71"/>
      <c r="P1036" s="370"/>
      <c r="Q1036" s="371"/>
    </row>
    <row r="1037" spans="1:17" ht="14.25" customHeight="1" hidden="1">
      <c r="A1037" s="270" t="s">
        <v>173</v>
      </c>
      <c r="B1037" s="48" t="s">
        <v>134</v>
      </c>
      <c r="C1037" s="49" t="s">
        <v>128</v>
      </c>
      <c r="D1037" s="49" t="s">
        <v>184</v>
      </c>
      <c r="E1037" s="49" t="s">
        <v>182</v>
      </c>
      <c r="F1037" s="51" t="s">
        <v>335</v>
      </c>
      <c r="G1037" s="71"/>
      <c r="H1037" s="52"/>
      <c r="I1037" s="52"/>
      <c r="J1037" s="71"/>
      <c r="K1037" s="173"/>
      <c r="L1037" s="187"/>
      <c r="M1037" s="52"/>
      <c r="N1037" s="71"/>
      <c r="O1037" s="71"/>
      <c r="P1037" s="370"/>
      <c r="Q1037" s="371"/>
    </row>
    <row r="1038" spans="1:17" ht="14.25" customHeight="1" hidden="1">
      <c r="A1038" s="270" t="s">
        <v>174</v>
      </c>
      <c r="B1038" s="48" t="s">
        <v>134</v>
      </c>
      <c r="C1038" s="49" t="s">
        <v>128</v>
      </c>
      <c r="D1038" s="49" t="s">
        <v>184</v>
      </c>
      <c r="E1038" s="49" t="s">
        <v>182</v>
      </c>
      <c r="F1038" s="51" t="s">
        <v>335</v>
      </c>
      <c r="G1038" s="71"/>
      <c r="H1038" s="52"/>
      <c r="I1038" s="52"/>
      <c r="J1038" s="71"/>
      <c r="K1038" s="173"/>
      <c r="L1038" s="187"/>
      <c r="M1038" s="52"/>
      <c r="N1038" s="71"/>
      <c r="O1038" s="71"/>
      <c r="P1038" s="370"/>
      <c r="Q1038" s="371"/>
    </row>
    <row r="1039" spans="1:17" ht="14.25" customHeight="1" hidden="1">
      <c r="A1039" s="270" t="s">
        <v>156</v>
      </c>
      <c r="B1039" s="48" t="s">
        <v>134</v>
      </c>
      <c r="C1039" s="49" t="s">
        <v>128</v>
      </c>
      <c r="D1039" s="49" t="s">
        <v>184</v>
      </c>
      <c r="E1039" s="49" t="s">
        <v>182</v>
      </c>
      <c r="F1039" s="51" t="s">
        <v>335</v>
      </c>
      <c r="G1039" s="71"/>
      <c r="H1039" s="52"/>
      <c r="I1039" s="52"/>
      <c r="J1039" s="71"/>
      <c r="K1039" s="173"/>
      <c r="L1039" s="187"/>
      <c r="M1039" s="52"/>
      <c r="N1039" s="71"/>
      <c r="O1039" s="71"/>
      <c r="P1039" s="370"/>
      <c r="Q1039" s="371"/>
    </row>
    <row r="1040" spans="1:17" ht="14.25" customHeight="1" hidden="1">
      <c r="A1040" s="270" t="s">
        <v>157</v>
      </c>
      <c r="B1040" s="48" t="s">
        <v>134</v>
      </c>
      <c r="C1040" s="49" t="s">
        <v>128</v>
      </c>
      <c r="D1040" s="49" t="s">
        <v>184</v>
      </c>
      <c r="E1040" s="49" t="s">
        <v>182</v>
      </c>
      <c r="F1040" s="51" t="s">
        <v>335</v>
      </c>
      <c r="G1040" s="71"/>
      <c r="H1040" s="52"/>
      <c r="I1040" s="52"/>
      <c r="J1040" s="71"/>
      <c r="K1040" s="173"/>
      <c r="L1040" s="187"/>
      <c r="M1040" s="52"/>
      <c r="N1040" s="71"/>
      <c r="O1040" s="71"/>
      <c r="P1040" s="370"/>
      <c r="Q1040" s="371"/>
    </row>
    <row r="1041" spans="1:17" ht="14.25" customHeight="1" hidden="1">
      <c r="A1041" s="270" t="s">
        <v>309</v>
      </c>
      <c r="B1041" s="48" t="s">
        <v>134</v>
      </c>
      <c r="C1041" s="49" t="s">
        <v>128</v>
      </c>
      <c r="D1041" s="49" t="s">
        <v>184</v>
      </c>
      <c r="E1041" s="49" t="s">
        <v>37</v>
      </c>
      <c r="F1041" s="51" t="s">
        <v>335</v>
      </c>
      <c r="G1041" s="71"/>
      <c r="H1041" s="52"/>
      <c r="I1041" s="52"/>
      <c r="J1041" s="71"/>
      <c r="K1041" s="173"/>
      <c r="L1041" s="187"/>
      <c r="M1041" s="52"/>
      <c r="N1041" s="71"/>
      <c r="O1041" s="71"/>
      <c r="P1041" s="370"/>
      <c r="Q1041" s="371"/>
    </row>
    <row r="1042" spans="1:17" ht="14.25" customHeight="1" hidden="1">
      <c r="A1042" s="270" t="s">
        <v>159</v>
      </c>
      <c r="B1042" s="48" t="s">
        <v>134</v>
      </c>
      <c r="C1042" s="49" t="s">
        <v>128</v>
      </c>
      <c r="D1042" s="49" t="s">
        <v>184</v>
      </c>
      <c r="E1042" s="49" t="s">
        <v>182</v>
      </c>
      <c r="F1042" s="51" t="s">
        <v>335</v>
      </c>
      <c r="G1042" s="71">
        <f>G1043+G1044</f>
        <v>0</v>
      </c>
      <c r="H1042" s="52">
        <f>H1043+H1044</f>
        <v>0</v>
      </c>
      <c r="I1042" s="52">
        <f>I1043+I1044</f>
        <v>0</v>
      </c>
      <c r="J1042" s="71">
        <f>J1043+J1044</f>
        <v>0</v>
      </c>
      <c r="K1042" s="173">
        <f>K1043+K1044</f>
        <v>0</v>
      </c>
      <c r="L1042" s="187"/>
      <c r="M1042" s="52"/>
      <c r="N1042" s="71"/>
      <c r="O1042" s="71"/>
      <c r="P1042" s="370"/>
      <c r="Q1042" s="371"/>
    </row>
    <row r="1043" spans="1:17" ht="14.25" customHeight="1" hidden="1">
      <c r="A1043" s="270" t="s">
        <v>160</v>
      </c>
      <c r="B1043" s="48" t="s">
        <v>134</v>
      </c>
      <c r="C1043" s="49" t="s">
        <v>128</v>
      </c>
      <c r="D1043" s="49" t="s">
        <v>184</v>
      </c>
      <c r="E1043" s="49" t="s">
        <v>182</v>
      </c>
      <c r="F1043" s="51" t="s">
        <v>335</v>
      </c>
      <c r="G1043" s="71"/>
      <c r="H1043" s="52"/>
      <c r="I1043" s="52"/>
      <c r="J1043" s="71"/>
      <c r="K1043" s="173"/>
      <c r="L1043" s="187"/>
      <c r="M1043" s="52"/>
      <c r="N1043" s="71"/>
      <c r="O1043" s="71"/>
      <c r="P1043" s="370"/>
      <c r="Q1043" s="371"/>
    </row>
    <row r="1044" spans="1:17" ht="14.25" customHeight="1" hidden="1">
      <c r="A1044" s="270" t="s">
        <v>161</v>
      </c>
      <c r="B1044" s="48" t="s">
        <v>134</v>
      </c>
      <c r="C1044" s="49" t="s">
        <v>128</v>
      </c>
      <c r="D1044" s="49" t="s">
        <v>184</v>
      </c>
      <c r="E1044" s="49" t="s">
        <v>182</v>
      </c>
      <c r="F1044" s="51" t="s">
        <v>335</v>
      </c>
      <c r="G1044" s="71"/>
      <c r="H1044" s="52"/>
      <c r="I1044" s="52"/>
      <c r="J1044" s="71"/>
      <c r="K1044" s="173"/>
      <c r="L1044" s="187"/>
      <c r="M1044" s="52"/>
      <c r="N1044" s="71"/>
      <c r="O1044" s="71"/>
      <c r="P1044" s="370"/>
      <c r="Q1044" s="371"/>
    </row>
    <row r="1045" spans="1:17" ht="14.25" customHeight="1" hidden="1">
      <c r="A1045" s="270" t="s">
        <v>362</v>
      </c>
      <c r="B1045" s="48" t="s">
        <v>134</v>
      </c>
      <c r="C1045" s="49" t="s">
        <v>128</v>
      </c>
      <c r="D1045" s="49" t="s">
        <v>184</v>
      </c>
      <c r="E1045" s="49" t="s">
        <v>132</v>
      </c>
      <c r="F1045" s="51" t="s">
        <v>194</v>
      </c>
      <c r="G1045" s="71"/>
      <c r="H1045" s="52"/>
      <c r="I1045" s="52"/>
      <c r="J1045" s="71"/>
      <c r="K1045" s="173"/>
      <c r="L1045" s="187"/>
      <c r="M1045" s="52"/>
      <c r="N1045" s="71"/>
      <c r="O1045" s="71"/>
      <c r="P1045" s="370"/>
      <c r="Q1045" s="371"/>
    </row>
    <row r="1046" spans="1:17" ht="14.25" customHeight="1" hidden="1">
      <c r="A1046" s="270" t="s">
        <v>23</v>
      </c>
      <c r="B1046" s="48" t="s">
        <v>134</v>
      </c>
      <c r="C1046" s="49" t="s">
        <v>128</v>
      </c>
      <c r="D1046" s="49" t="s">
        <v>184</v>
      </c>
      <c r="E1046" s="49" t="s">
        <v>255</v>
      </c>
      <c r="F1046" s="51" t="s">
        <v>24</v>
      </c>
      <c r="G1046" s="71"/>
      <c r="H1046" s="52"/>
      <c r="I1046" s="52"/>
      <c r="J1046" s="71"/>
      <c r="K1046" s="173"/>
      <c r="L1046" s="187"/>
      <c r="M1046" s="52"/>
      <c r="N1046" s="71"/>
      <c r="O1046" s="71"/>
      <c r="P1046" s="370"/>
      <c r="Q1046" s="371"/>
    </row>
    <row r="1047" spans="1:17" ht="14.25" customHeight="1" hidden="1">
      <c r="A1047" s="281" t="s">
        <v>309</v>
      </c>
      <c r="B1047" s="66" t="s">
        <v>134</v>
      </c>
      <c r="C1047" s="92" t="s">
        <v>128</v>
      </c>
      <c r="D1047" s="92" t="s">
        <v>184</v>
      </c>
      <c r="E1047" s="92" t="s">
        <v>255</v>
      </c>
      <c r="F1047" s="94" t="s">
        <v>24</v>
      </c>
      <c r="G1047" s="71"/>
      <c r="H1047" s="52"/>
      <c r="I1047" s="52"/>
      <c r="J1047" s="71"/>
      <c r="K1047" s="173"/>
      <c r="L1047" s="187"/>
      <c r="M1047" s="52"/>
      <c r="N1047" s="71"/>
      <c r="O1047" s="71"/>
      <c r="P1047" s="370"/>
      <c r="Q1047" s="371"/>
    </row>
    <row r="1048" spans="1:17" ht="14.25" customHeight="1" hidden="1">
      <c r="A1048" s="317" t="s">
        <v>93</v>
      </c>
      <c r="B1048" s="99" t="s">
        <v>134</v>
      </c>
      <c r="C1048" s="53" t="s">
        <v>128</v>
      </c>
      <c r="D1048" s="53" t="s">
        <v>130</v>
      </c>
      <c r="E1048" s="53" t="s">
        <v>5</v>
      </c>
      <c r="F1048" s="69" t="s">
        <v>169</v>
      </c>
      <c r="G1048" s="65" t="e">
        <f>#REF!+G1049</f>
        <v>#REF!</v>
      </c>
      <c r="H1048" s="59" t="e">
        <f>#REF!+H1049</f>
        <v>#REF!</v>
      </c>
      <c r="I1048" s="59" t="e">
        <f>#REF!+I1049</f>
        <v>#REF!</v>
      </c>
      <c r="J1048" s="65" t="e">
        <f>#REF!+J1049</f>
        <v>#REF!</v>
      </c>
      <c r="K1048" s="164" t="e">
        <f>#REF!+K1049</f>
        <v>#REF!</v>
      </c>
      <c r="L1048" s="189"/>
      <c r="M1048" s="59"/>
      <c r="N1048" s="65"/>
      <c r="O1048" s="65"/>
      <c r="P1048" s="374"/>
      <c r="Q1048" s="375"/>
    </row>
    <row r="1049" spans="1:17" ht="15" customHeight="1" hidden="1" thickBot="1">
      <c r="A1049" s="272"/>
      <c r="B1049" s="26"/>
      <c r="C1049" s="27"/>
      <c r="D1049" s="27"/>
      <c r="E1049" s="102" t="s">
        <v>384</v>
      </c>
      <c r="F1049" s="58" t="s">
        <v>38</v>
      </c>
      <c r="G1049" s="72">
        <f>80*0.96</f>
        <v>76.8</v>
      </c>
      <c r="H1049" s="80">
        <f>84*0.91</f>
        <v>76.44</v>
      </c>
      <c r="I1049" s="80">
        <f>89*0.95</f>
        <v>84.55</v>
      </c>
      <c r="J1049" s="72"/>
      <c r="K1049" s="162">
        <f>G1049+J1049</f>
        <v>76.8</v>
      </c>
      <c r="L1049" s="194"/>
      <c r="M1049" s="80">
        <v>5</v>
      </c>
      <c r="N1049" s="72"/>
      <c r="O1049" s="72">
        <v>83</v>
      </c>
      <c r="P1049" s="388">
        <v>83</v>
      </c>
      <c r="Q1049" s="389">
        <v>83</v>
      </c>
    </row>
    <row r="1050" spans="1:17" ht="16.5" customHeight="1" thickBot="1">
      <c r="A1050" s="268" t="s">
        <v>12</v>
      </c>
      <c r="B1050" s="16" t="s">
        <v>133</v>
      </c>
      <c r="C1050" s="17" t="s">
        <v>128</v>
      </c>
      <c r="D1050" s="17" t="s">
        <v>150</v>
      </c>
      <c r="E1050" s="17"/>
      <c r="F1050" s="19"/>
      <c r="G1050" s="130">
        <f aca="true" t="shared" si="186" ref="G1050:Q1051">G1051</f>
        <v>33399.08</v>
      </c>
      <c r="H1050" s="130" t="e">
        <f t="shared" si="186"/>
        <v>#REF!</v>
      </c>
      <c r="I1050" s="130" t="e">
        <f t="shared" si="186"/>
        <v>#REF!</v>
      </c>
      <c r="J1050" s="130">
        <f t="shared" si="186"/>
        <v>-1639.10537</v>
      </c>
      <c r="K1050" s="171">
        <f t="shared" si="186"/>
        <v>31759.97463</v>
      </c>
      <c r="L1050" s="171">
        <f t="shared" si="186"/>
        <v>0</v>
      </c>
      <c r="M1050" s="171">
        <f t="shared" si="186"/>
        <v>0</v>
      </c>
      <c r="N1050" s="171">
        <f t="shared" si="186"/>
        <v>21464.1</v>
      </c>
      <c r="O1050" s="130">
        <f>O1052</f>
        <v>26650.8</v>
      </c>
      <c r="P1050" s="366">
        <f>P1052</f>
        <v>27620.3</v>
      </c>
      <c r="Q1050" s="367">
        <f>Q1052</f>
        <v>27620.3</v>
      </c>
    </row>
    <row r="1051" spans="1:17" s="33" customFormat="1" ht="16.5" customHeight="1" hidden="1" thickBot="1">
      <c r="A1051" s="309"/>
      <c r="B1051" s="26"/>
      <c r="C1051" s="27" t="s">
        <v>128</v>
      </c>
      <c r="D1051" s="27" t="s">
        <v>150</v>
      </c>
      <c r="E1051" s="27" t="s">
        <v>132</v>
      </c>
      <c r="F1051" s="28" t="s">
        <v>133</v>
      </c>
      <c r="G1051" s="155">
        <f t="shared" si="186"/>
        <v>33399.08</v>
      </c>
      <c r="H1051" s="155" t="e">
        <f t="shared" si="186"/>
        <v>#REF!</v>
      </c>
      <c r="I1051" s="155" t="e">
        <f t="shared" si="186"/>
        <v>#REF!</v>
      </c>
      <c r="J1051" s="155">
        <f t="shared" si="186"/>
        <v>-1639.10537</v>
      </c>
      <c r="K1051" s="167">
        <f t="shared" si="186"/>
        <v>31759.97463</v>
      </c>
      <c r="L1051" s="167">
        <f t="shared" si="186"/>
        <v>0</v>
      </c>
      <c r="M1051" s="167">
        <f t="shared" si="186"/>
        <v>0</v>
      </c>
      <c r="N1051" s="167">
        <f t="shared" si="186"/>
        <v>21464.1</v>
      </c>
      <c r="O1051" s="155">
        <f t="shared" si="186"/>
        <v>26650.8</v>
      </c>
      <c r="P1051" s="396">
        <f t="shared" si="186"/>
        <v>27620.3</v>
      </c>
      <c r="Q1051" s="397">
        <f t="shared" si="186"/>
        <v>27620.3</v>
      </c>
    </row>
    <row r="1052" spans="1:17" ht="26.25" thickBot="1">
      <c r="A1052" s="347" t="s">
        <v>525</v>
      </c>
      <c r="B1052" s="21" t="s">
        <v>134</v>
      </c>
      <c r="C1052" s="22" t="s">
        <v>128</v>
      </c>
      <c r="D1052" s="22" t="s">
        <v>150</v>
      </c>
      <c r="E1052" s="22" t="s">
        <v>524</v>
      </c>
      <c r="F1052" s="24"/>
      <c r="G1052" s="132">
        <f aca="true" t="shared" si="187" ref="G1052:N1052">G1053+G1079</f>
        <v>33399.08</v>
      </c>
      <c r="H1052" s="132" t="e">
        <f t="shared" si="187"/>
        <v>#REF!</v>
      </c>
      <c r="I1052" s="132" t="e">
        <f t="shared" si="187"/>
        <v>#REF!</v>
      </c>
      <c r="J1052" s="132">
        <f t="shared" si="187"/>
        <v>-1639.10537</v>
      </c>
      <c r="K1052" s="175">
        <f t="shared" si="187"/>
        <v>31759.97463</v>
      </c>
      <c r="L1052" s="175">
        <f t="shared" si="187"/>
        <v>0</v>
      </c>
      <c r="M1052" s="175">
        <f t="shared" si="187"/>
        <v>0</v>
      </c>
      <c r="N1052" s="175">
        <f t="shared" si="187"/>
        <v>21464.1</v>
      </c>
      <c r="O1052" s="132">
        <f>O1053+O1079</f>
        <v>26650.8</v>
      </c>
      <c r="P1052" s="378">
        <f>P1053+P1079</f>
        <v>27620.3</v>
      </c>
      <c r="Q1052" s="379">
        <f>Q1053+Q1079</f>
        <v>27620.3</v>
      </c>
    </row>
    <row r="1053" spans="1:17" ht="25.5">
      <c r="A1053" s="348" t="s">
        <v>527</v>
      </c>
      <c r="B1053" s="29" t="s">
        <v>134</v>
      </c>
      <c r="C1053" s="30" t="s">
        <v>128</v>
      </c>
      <c r="D1053" s="30" t="s">
        <v>150</v>
      </c>
      <c r="E1053" s="30" t="s">
        <v>526</v>
      </c>
      <c r="F1053" s="32"/>
      <c r="G1053" s="138">
        <f aca="true" t="shared" si="188" ref="G1053:N1054">G1055+G1075</f>
        <v>25093.2</v>
      </c>
      <c r="H1053" s="138">
        <f t="shared" si="188"/>
        <v>26317.8</v>
      </c>
      <c r="I1053" s="138">
        <f t="shared" si="188"/>
        <v>27531.7</v>
      </c>
      <c r="J1053" s="138">
        <f t="shared" si="188"/>
        <v>111</v>
      </c>
      <c r="K1053" s="183">
        <f t="shared" si="188"/>
        <v>25204.2</v>
      </c>
      <c r="L1053" s="183">
        <f t="shared" si="188"/>
        <v>0</v>
      </c>
      <c r="M1053" s="183">
        <f t="shared" si="188"/>
        <v>0</v>
      </c>
      <c r="N1053" s="183">
        <f t="shared" si="188"/>
        <v>21464.1</v>
      </c>
      <c r="O1053" s="138">
        <f>O1054</f>
        <v>21464.1</v>
      </c>
      <c r="P1053" s="404">
        <f>P1054</f>
        <v>22433.6</v>
      </c>
      <c r="Q1053" s="405">
        <f>Q1054</f>
        <v>22433.6</v>
      </c>
    </row>
    <row r="1054" spans="1:17" ht="51">
      <c r="A1054" s="349" t="s">
        <v>529</v>
      </c>
      <c r="B1054" s="48" t="s">
        <v>134</v>
      </c>
      <c r="C1054" s="49" t="s">
        <v>128</v>
      </c>
      <c r="D1054" s="49" t="s">
        <v>150</v>
      </c>
      <c r="E1054" s="49" t="s">
        <v>528</v>
      </c>
      <c r="F1054" s="51"/>
      <c r="G1054" s="71">
        <f t="shared" si="188"/>
        <v>1470.3</v>
      </c>
      <c r="H1054" s="71">
        <f t="shared" si="188"/>
        <v>1543.8</v>
      </c>
      <c r="I1054" s="71">
        <f t="shared" si="188"/>
        <v>1543.8</v>
      </c>
      <c r="J1054" s="71">
        <f t="shared" si="188"/>
        <v>425.7</v>
      </c>
      <c r="K1054" s="173">
        <f t="shared" si="188"/>
        <v>1896</v>
      </c>
      <c r="L1054" s="173">
        <f t="shared" si="188"/>
        <v>0</v>
      </c>
      <c r="M1054" s="173">
        <f t="shared" si="188"/>
        <v>0</v>
      </c>
      <c r="N1054" s="173">
        <f t="shared" si="188"/>
        <v>1745.8</v>
      </c>
      <c r="O1054" s="71">
        <f>O1055+O1075</f>
        <v>21464.1</v>
      </c>
      <c r="P1054" s="370">
        <f>P1055+P1075</f>
        <v>22433.6</v>
      </c>
      <c r="Q1054" s="371">
        <f>Q1055+Q1075</f>
        <v>22433.6</v>
      </c>
    </row>
    <row r="1055" spans="1:17" ht="51">
      <c r="A1055" s="344" t="s">
        <v>531</v>
      </c>
      <c r="B1055" s="26" t="s">
        <v>134</v>
      </c>
      <c r="C1055" s="27" t="s">
        <v>128</v>
      </c>
      <c r="D1055" s="27" t="s">
        <v>150</v>
      </c>
      <c r="E1055" s="27" t="s">
        <v>530</v>
      </c>
      <c r="F1055" s="28"/>
      <c r="G1055" s="155">
        <f aca="true" t="shared" si="189" ref="G1055:N1055">G1056+G1057</f>
        <v>1543.8</v>
      </c>
      <c r="H1055" s="155">
        <f t="shared" si="189"/>
        <v>1543.8</v>
      </c>
      <c r="I1055" s="155">
        <f t="shared" si="189"/>
        <v>1543.8</v>
      </c>
      <c r="J1055" s="155">
        <f t="shared" si="189"/>
        <v>111</v>
      </c>
      <c r="K1055" s="167">
        <f t="shared" si="189"/>
        <v>1654.8</v>
      </c>
      <c r="L1055" s="167">
        <f t="shared" si="189"/>
        <v>0</v>
      </c>
      <c r="M1055" s="167">
        <f t="shared" si="189"/>
        <v>0</v>
      </c>
      <c r="N1055" s="167">
        <f t="shared" si="189"/>
        <v>1745.8</v>
      </c>
      <c r="O1055" s="155">
        <f>O1056+O1057</f>
        <v>1745.8</v>
      </c>
      <c r="P1055" s="396">
        <f>P1056+P1057</f>
        <v>1745.8</v>
      </c>
      <c r="Q1055" s="397">
        <f>Q1056+Q1057</f>
        <v>1745.8</v>
      </c>
    </row>
    <row r="1056" spans="1:17" ht="16.5" customHeight="1">
      <c r="A1056" s="277" t="s">
        <v>79</v>
      </c>
      <c r="B1056" s="99" t="s">
        <v>134</v>
      </c>
      <c r="C1056" s="53" t="s">
        <v>128</v>
      </c>
      <c r="D1056" s="53" t="s">
        <v>150</v>
      </c>
      <c r="E1056" s="53" t="s">
        <v>530</v>
      </c>
      <c r="F1056" s="55" t="s">
        <v>76</v>
      </c>
      <c r="G1056" s="65">
        <v>1470.3</v>
      </c>
      <c r="H1056" s="59">
        <f>H1068+H1069+H1070+H1071+H1072+H1073</f>
        <v>1543.8</v>
      </c>
      <c r="I1056" s="59">
        <f>I1068+I1069+I1070+I1071+I1072+I1073</f>
        <v>1543.8</v>
      </c>
      <c r="J1056" s="65">
        <v>105.7</v>
      </c>
      <c r="K1056" s="164">
        <v>1576</v>
      </c>
      <c r="L1056" s="189"/>
      <c r="M1056" s="59"/>
      <c r="N1056" s="65">
        <v>1745.8</v>
      </c>
      <c r="O1056" s="65">
        <f>L1056+M1056+N1056</f>
        <v>1745.8</v>
      </c>
      <c r="P1056" s="374">
        <v>1745.8</v>
      </c>
      <c r="Q1056" s="375">
        <v>1745.8</v>
      </c>
    </row>
    <row r="1057" spans="1:17" ht="16.5" customHeight="1">
      <c r="A1057" s="277" t="s">
        <v>80</v>
      </c>
      <c r="B1057" s="105" t="s">
        <v>134</v>
      </c>
      <c r="C1057" s="74" t="s">
        <v>128</v>
      </c>
      <c r="D1057" s="74" t="s">
        <v>150</v>
      </c>
      <c r="E1057" s="74" t="s">
        <v>530</v>
      </c>
      <c r="F1057" s="75" t="s">
        <v>77</v>
      </c>
      <c r="G1057" s="76">
        <v>73.5</v>
      </c>
      <c r="H1057" s="98">
        <f>H1058+H1061</f>
        <v>0</v>
      </c>
      <c r="I1057" s="98">
        <f>I1058+I1061</f>
        <v>0</v>
      </c>
      <c r="J1057" s="76">
        <v>5.3</v>
      </c>
      <c r="K1057" s="164">
        <v>78.8</v>
      </c>
      <c r="L1057" s="189"/>
      <c r="M1057" s="59"/>
      <c r="N1057" s="65">
        <v>0</v>
      </c>
      <c r="O1057" s="65">
        <f>L1057+M1057+N1057</f>
        <v>0</v>
      </c>
      <c r="P1057" s="374">
        <f>M1057+N1057+O1057</f>
        <v>0</v>
      </c>
      <c r="Q1057" s="375">
        <f>N1057+O1057+P1057</f>
        <v>0</v>
      </c>
    </row>
    <row r="1058" spans="1:17" ht="12.75" hidden="1">
      <c r="A1058" s="286"/>
      <c r="B1058" s="99" t="s">
        <v>134</v>
      </c>
      <c r="C1058" s="53" t="s">
        <v>128</v>
      </c>
      <c r="D1058" s="53" t="s">
        <v>150</v>
      </c>
      <c r="E1058" s="53" t="s">
        <v>195</v>
      </c>
      <c r="F1058" s="51" t="s">
        <v>140</v>
      </c>
      <c r="G1058" s="71">
        <f>SUM(G1059:G1060)</f>
        <v>0</v>
      </c>
      <c r="H1058" s="52">
        <f>SUM(H1059:H1060)</f>
        <v>0</v>
      </c>
      <c r="I1058" s="52">
        <f>SUM(I1059:I1060)</f>
        <v>0</v>
      </c>
      <c r="J1058" s="71">
        <f>SUM(J1059:J1060)</f>
        <v>0</v>
      </c>
      <c r="K1058" s="164">
        <f aca="true" t="shared" si="190" ref="K1058:K1074">G1058+J1058</f>
        <v>0</v>
      </c>
      <c r="L1058" s="189"/>
      <c r="M1058" s="59"/>
      <c r="N1058" s="65"/>
      <c r="O1058" s="65"/>
      <c r="P1058" s="374"/>
      <c r="Q1058" s="375"/>
    </row>
    <row r="1059" spans="1:17" ht="12.75" hidden="1">
      <c r="A1059" s="271" t="s">
        <v>80</v>
      </c>
      <c r="B1059" s="99" t="s">
        <v>134</v>
      </c>
      <c r="C1059" s="53" t="s">
        <v>128</v>
      </c>
      <c r="D1059" s="53" t="s">
        <v>150</v>
      </c>
      <c r="E1059" s="53" t="s">
        <v>195</v>
      </c>
      <c r="F1059" s="51" t="s">
        <v>140</v>
      </c>
      <c r="G1059" s="71"/>
      <c r="H1059" s="52"/>
      <c r="I1059" s="52"/>
      <c r="J1059" s="71"/>
      <c r="K1059" s="164">
        <f t="shared" si="190"/>
        <v>0</v>
      </c>
      <c r="L1059" s="189"/>
      <c r="M1059" s="59"/>
      <c r="N1059" s="65"/>
      <c r="O1059" s="65"/>
      <c r="P1059" s="374"/>
      <c r="Q1059" s="375"/>
    </row>
    <row r="1060" spans="1:17" ht="12.75" hidden="1">
      <c r="A1060" s="270" t="s">
        <v>145</v>
      </c>
      <c r="B1060" s="99" t="s">
        <v>134</v>
      </c>
      <c r="C1060" s="53" t="s">
        <v>128</v>
      </c>
      <c r="D1060" s="53" t="s">
        <v>150</v>
      </c>
      <c r="E1060" s="53" t="s">
        <v>195</v>
      </c>
      <c r="F1060" s="51" t="s">
        <v>140</v>
      </c>
      <c r="G1060" s="71"/>
      <c r="H1060" s="52"/>
      <c r="I1060" s="52"/>
      <c r="J1060" s="71"/>
      <c r="K1060" s="164">
        <f t="shared" si="190"/>
        <v>0</v>
      </c>
      <c r="L1060" s="189"/>
      <c r="M1060" s="59"/>
      <c r="N1060" s="65"/>
      <c r="O1060" s="65"/>
      <c r="P1060" s="374"/>
      <c r="Q1060" s="375"/>
    </row>
    <row r="1061" spans="1:17" ht="12.75" hidden="1">
      <c r="A1061" s="270" t="s">
        <v>153</v>
      </c>
      <c r="B1061" s="99" t="s">
        <v>134</v>
      </c>
      <c r="C1061" s="53" t="s">
        <v>128</v>
      </c>
      <c r="D1061" s="53" t="s">
        <v>150</v>
      </c>
      <c r="E1061" s="53" t="s">
        <v>195</v>
      </c>
      <c r="F1061" s="51" t="s">
        <v>140</v>
      </c>
      <c r="G1061" s="71"/>
      <c r="H1061" s="52"/>
      <c r="I1061" s="52"/>
      <c r="J1061" s="71"/>
      <c r="K1061" s="164">
        <f t="shared" si="190"/>
        <v>0</v>
      </c>
      <c r="L1061" s="189"/>
      <c r="M1061" s="59"/>
      <c r="N1061" s="65"/>
      <c r="O1061" s="65"/>
      <c r="P1061" s="374"/>
      <c r="Q1061" s="375"/>
    </row>
    <row r="1062" spans="1:17" ht="12.75" hidden="1">
      <c r="A1062" s="270" t="s">
        <v>154</v>
      </c>
      <c r="B1062" s="99" t="s">
        <v>134</v>
      </c>
      <c r="C1062" s="53" t="s">
        <v>128</v>
      </c>
      <c r="D1062" s="53" t="s">
        <v>150</v>
      </c>
      <c r="E1062" s="53" t="s">
        <v>195</v>
      </c>
      <c r="F1062" s="51" t="s">
        <v>140</v>
      </c>
      <c r="G1062" s="71"/>
      <c r="H1062" s="52"/>
      <c r="I1062" s="52"/>
      <c r="J1062" s="71"/>
      <c r="K1062" s="164">
        <f t="shared" si="190"/>
        <v>0</v>
      </c>
      <c r="L1062" s="189"/>
      <c r="M1062" s="59"/>
      <c r="N1062" s="65"/>
      <c r="O1062" s="65"/>
      <c r="P1062" s="374"/>
      <c r="Q1062" s="375"/>
    </row>
    <row r="1063" spans="1:17" ht="12.75" hidden="1">
      <c r="A1063" s="270" t="s">
        <v>157</v>
      </c>
      <c r="B1063" s="99" t="s">
        <v>134</v>
      </c>
      <c r="C1063" s="53" t="s">
        <v>128</v>
      </c>
      <c r="D1063" s="53" t="s">
        <v>150</v>
      </c>
      <c r="E1063" s="53" t="s">
        <v>195</v>
      </c>
      <c r="F1063" s="51" t="s">
        <v>140</v>
      </c>
      <c r="G1063" s="71"/>
      <c r="H1063" s="52"/>
      <c r="I1063" s="52"/>
      <c r="J1063" s="71"/>
      <c r="K1063" s="164">
        <f t="shared" si="190"/>
        <v>0</v>
      </c>
      <c r="L1063" s="189"/>
      <c r="M1063" s="59"/>
      <c r="N1063" s="65"/>
      <c r="O1063" s="65"/>
      <c r="P1063" s="374"/>
      <c r="Q1063" s="375"/>
    </row>
    <row r="1064" spans="1:17" ht="12.75" hidden="1">
      <c r="A1064" s="270" t="s">
        <v>159</v>
      </c>
      <c r="B1064" s="99" t="s">
        <v>134</v>
      </c>
      <c r="C1064" s="53" t="s">
        <v>128</v>
      </c>
      <c r="D1064" s="53" t="s">
        <v>150</v>
      </c>
      <c r="E1064" s="53" t="s">
        <v>195</v>
      </c>
      <c r="F1064" s="51" t="s">
        <v>140</v>
      </c>
      <c r="G1064" s="71">
        <f>SUM(G1065:G1066)</f>
        <v>0</v>
      </c>
      <c r="H1064" s="52">
        <f>SUM(H1065:H1066)</f>
        <v>0</v>
      </c>
      <c r="I1064" s="52">
        <f>SUM(I1065:I1066)</f>
        <v>0</v>
      </c>
      <c r="J1064" s="71">
        <f>SUM(J1065:J1066)</f>
        <v>0</v>
      </c>
      <c r="K1064" s="164">
        <f t="shared" si="190"/>
        <v>0</v>
      </c>
      <c r="L1064" s="189"/>
      <c r="M1064" s="59"/>
      <c r="N1064" s="65"/>
      <c r="O1064" s="65"/>
      <c r="P1064" s="374"/>
      <c r="Q1064" s="375"/>
    </row>
    <row r="1065" spans="1:17" ht="12.75" hidden="1">
      <c r="A1065" s="270" t="s">
        <v>196</v>
      </c>
      <c r="B1065" s="99" t="s">
        <v>134</v>
      </c>
      <c r="C1065" s="53" t="s">
        <v>128</v>
      </c>
      <c r="D1065" s="53" t="s">
        <v>150</v>
      </c>
      <c r="E1065" s="53" t="s">
        <v>195</v>
      </c>
      <c r="F1065" s="51" t="s">
        <v>140</v>
      </c>
      <c r="G1065" s="71"/>
      <c r="H1065" s="52"/>
      <c r="I1065" s="52"/>
      <c r="J1065" s="71"/>
      <c r="K1065" s="164">
        <f t="shared" si="190"/>
        <v>0</v>
      </c>
      <c r="L1065" s="189"/>
      <c r="M1065" s="59"/>
      <c r="N1065" s="65"/>
      <c r="O1065" s="65"/>
      <c r="P1065" s="374"/>
      <c r="Q1065" s="375"/>
    </row>
    <row r="1066" spans="1:17" ht="12.75" hidden="1">
      <c r="A1066" s="270" t="s">
        <v>161</v>
      </c>
      <c r="B1066" s="99" t="s">
        <v>134</v>
      </c>
      <c r="C1066" s="53" t="s">
        <v>128</v>
      </c>
      <c r="D1066" s="53" t="s">
        <v>150</v>
      </c>
      <c r="E1066" s="53" t="s">
        <v>195</v>
      </c>
      <c r="F1066" s="51" t="s">
        <v>140</v>
      </c>
      <c r="G1066" s="71"/>
      <c r="H1066" s="52"/>
      <c r="I1066" s="52"/>
      <c r="J1066" s="71"/>
      <c r="K1066" s="164">
        <f t="shared" si="190"/>
        <v>0</v>
      </c>
      <c r="L1066" s="189"/>
      <c r="M1066" s="59"/>
      <c r="N1066" s="65"/>
      <c r="O1066" s="65"/>
      <c r="P1066" s="374"/>
      <c r="Q1066" s="375"/>
    </row>
    <row r="1067" spans="1:17" ht="12.75" hidden="1">
      <c r="A1067" s="289"/>
      <c r="B1067" s="66" t="s">
        <v>134</v>
      </c>
      <c r="C1067" s="67" t="s">
        <v>128</v>
      </c>
      <c r="D1067" s="67" t="s">
        <v>150</v>
      </c>
      <c r="E1067" s="67" t="s">
        <v>39</v>
      </c>
      <c r="F1067" s="69" t="s">
        <v>133</v>
      </c>
      <c r="G1067" s="71">
        <f>G1075</f>
        <v>23549.4</v>
      </c>
      <c r="H1067" s="52">
        <f>H1075</f>
        <v>24774</v>
      </c>
      <c r="I1067" s="52">
        <f>I1075</f>
        <v>25987.9</v>
      </c>
      <c r="J1067" s="71">
        <f>J1075</f>
        <v>0</v>
      </c>
      <c r="K1067" s="164">
        <f t="shared" si="190"/>
        <v>23549.4</v>
      </c>
      <c r="L1067" s="189"/>
      <c r="M1067" s="59"/>
      <c r="N1067" s="65"/>
      <c r="O1067" s="65"/>
      <c r="P1067" s="374"/>
      <c r="Q1067" s="375"/>
    </row>
    <row r="1068" spans="1:17" ht="14.25" customHeight="1" hidden="1">
      <c r="A1068" s="344"/>
      <c r="B1068" s="26"/>
      <c r="C1068" s="56"/>
      <c r="D1068" s="56"/>
      <c r="E1068" s="56"/>
      <c r="F1068" s="58" t="s">
        <v>146</v>
      </c>
      <c r="G1068" s="72">
        <v>1543.8</v>
      </c>
      <c r="H1068" s="80">
        <v>1543.8</v>
      </c>
      <c r="I1068" s="80">
        <v>1543.8</v>
      </c>
      <c r="J1068" s="72">
        <v>1543.8</v>
      </c>
      <c r="K1068" s="164">
        <f t="shared" si="190"/>
        <v>3087.6</v>
      </c>
      <c r="L1068" s="189"/>
      <c r="M1068" s="59"/>
      <c r="N1068" s="65"/>
      <c r="O1068" s="65"/>
      <c r="P1068" s="374"/>
      <c r="Q1068" s="375"/>
    </row>
    <row r="1069" spans="1:17" ht="1.5" customHeight="1" hidden="1" thickBot="1">
      <c r="A1069" s="286"/>
      <c r="B1069" s="48"/>
      <c r="C1069" s="53"/>
      <c r="D1069" s="53"/>
      <c r="E1069" s="53"/>
      <c r="F1069" s="55" t="s">
        <v>148</v>
      </c>
      <c r="G1069" s="65"/>
      <c r="H1069" s="59"/>
      <c r="I1069" s="59"/>
      <c r="J1069" s="65"/>
      <c r="K1069" s="164">
        <f t="shared" si="190"/>
        <v>0</v>
      </c>
      <c r="L1069" s="189"/>
      <c r="M1069" s="59"/>
      <c r="N1069" s="65"/>
      <c r="O1069" s="65"/>
      <c r="P1069" s="374"/>
      <c r="Q1069" s="375"/>
    </row>
    <row r="1070" spans="1:17" ht="12.75" hidden="1">
      <c r="A1070" s="344"/>
      <c r="B1070" s="26"/>
      <c r="C1070" s="56"/>
      <c r="D1070" s="56"/>
      <c r="E1070" s="56"/>
      <c r="F1070" s="58" t="s">
        <v>164</v>
      </c>
      <c r="G1070" s="136"/>
      <c r="H1070" s="97"/>
      <c r="I1070" s="97"/>
      <c r="J1070" s="136"/>
      <c r="K1070" s="164">
        <f t="shared" si="190"/>
        <v>0</v>
      </c>
      <c r="L1070" s="189"/>
      <c r="M1070" s="59"/>
      <c r="N1070" s="65"/>
      <c r="O1070" s="65"/>
      <c r="P1070" s="374"/>
      <c r="Q1070" s="375"/>
    </row>
    <row r="1071" spans="1:17" ht="12.75" hidden="1">
      <c r="A1071" s="286"/>
      <c r="B1071" s="48"/>
      <c r="C1071" s="53"/>
      <c r="D1071" s="53"/>
      <c r="E1071" s="53"/>
      <c r="F1071" s="55" t="s">
        <v>167</v>
      </c>
      <c r="G1071" s="65"/>
      <c r="H1071" s="59"/>
      <c r="I1071" s="59"/>
      <c r="J1071" s="65"/>
      <c r="K1071" s="164">
        <f t="shared" si="190"/>
        <v>0</v>
      </c>
      <c r="L1071" s="189"/>
      <c r="M1071" s="59"/>
      <c r="N1071" s="65"/>
      <c r="O1071" s="65"/>
      <c r="P1071" s="374"/>
      <c r="Q1071" s="375"/>
    </row>
    <row r="1072" spans="1:17" ht="12.75" hidden="1">
      <c r="A1072" s="286"/>
      <c r="B1072" s="48"/>
      <c r="C1072" s="53"/>
      <c r="D1072" s="53"/>
      <c r="E1072" s="53"/>
      <c r="F1072" s="55" t="s">
        <v>169</v>
      </c>
      <c r="G1072" s="65"/>
      <c r="H1072" s="59"/>
      <c r="I1072" s="59"/>
      <c r="J1072" s="65"/>
      <c r="K1072" s="164">
        <f t="shared" si="190"/>
        <v>0</v>
      </c>
      <c r="L1072" s="189"/>
      <c r="M1072" s="59"/>
      <c r="N1072" s="65"/>
      <c r="O1072" s="65"/>
      <c r="P1072" s="374"/>
      <c r="Q1072" s="375"/>
    </row>
    <row r="1073" spans="1:17" ht="12.75" hidden="1">
      <c r="A1073" s="344"/>
      <c r="B1073" s="26"/>
      <c r="C1073" s="56"/>
      <c r="D1073" s="56"/>
      <c r="E1073" s="56"/>
      <c r="F1073" s="58" t="s">
        <v>170</v>
      </c>
      <c r="G1073" s="136"/>
      <c r="H1073" s="97"/>
      <c r="I1073" s="97"/>
      <c r="J1073" s="136"/>
      <c r="K1073" s="164">
        <f t="shared" si="190"/>
        <v>0</v>
      </c>
      <c r="L1073" s="189"/>
      <c r="M1073" s="59"/>
      <c r="N1073" s="65"/>
      <c r="O1073" s="65"/>
      <c r="P1073" s="374"/>
      <c r="Q1073" s="375"/>
    </row>
    <row r="1074" spans="1:17" ht="12.75" hidden="1">
      <c r="A1074" s="277" t="s">
        <v>80</v>
      </c>
      <c r="B1074" s="99" t="s">
        <v>134</v>
      </c>
      <c r="C1074" s="53" t="s">
        <v>128</v>
      </c>
      <c r="D1074" s="53" t="s">
        <v>150</v>
      </c>
      <c r="E1074" s="53" t="s">
        <v>195</v>
      </c>
      <c r="F1074" s="58" t="s">
        <v>77</v>
      </c>
      <c r="G1074" s="136">
        <v>73.5</v>
      </c>
      <c r="H1074" s="97"/>
      <c r="I1074" s="97"/>
      <c r="J1074" s="136">
        <v>5.3</v>
      </c>
      <c r="K1074" s="164">
        <f t="shared" si="190"/>
        <v>78.8</v>
      </c>
      <c r="L1074" s="189"/>
      <c r="M1074" s="59"/>
      <c r="N1074" s="65"/>
      <c r="O1074" s="65"/>
      <c r="P1074" s="374"/>
      <c r="Q1074" s="375"/>
    </row>
    <row r="1075" spans="1:17" ht="25.5">
      <c r="A1075" s="286" t="s">
        <v>533</v>
      </c>
      <c r="B1075" s="48" t="s">
        <v>134</v>
      </c>
      <c r="C1075" s="49" t="s">
        <v>128</v>
      </c>
      <c r="D1075" s="49" t="s">
        <v>150</v>
      </c>
      <c r="E1075" s="27" t="s">
        <v>532</v>
      </c>
      <c r="F1075" s="51"/>
      <c r="G1075" s="71">
        <f aca="true" t="shared" si="191" ref="G1075:N1075">G1077+G1076</f>
        <v>23549.4</v>
      </c>
      <c r="H1075" s="71">
        <f t="shared" si="191"/>
        <v>24774</v>
      </c>
      <c r="I1075" s="71">
        <f t="shared" si="191"/>
        <v>25987.9</v>
      </c>
      <c r="J1075" s="71">
        <f t="shared" si="191"/>
        <v>0</v>
      </c>
      <c r="K1075" s="173">
        <f t="shared" si="191"/>
        <v>23549.4</v>
      </c>
      <c r="L1075" s="173">
        <f t="shared" si="191"/>
        <v>0</v>
      </c>
      <c r="M1075" s="173">
        <f t="shared" si="191"/>
        <v>0</v>
      </c>
      <c r="N1075" s="173">
        <f t="shared" si="191"/>
        <v>19718.3</v>
      </c>
      <c r="O1075" s="71">
        <f>O1077+O1076</f>
        <v>19718.3</v>
      </c>
      <c r="P1075" s="370">
        <f>P1077+P1076</f>
        <v>20687.8</v>
      </c>
      <c r="Q1075" s="371">
        <f>Q1077+Q1076</f>
        <v>20687.8</v>
      </c>
    </row>
    <row r="1076" spans="1:17" ht="16.5" customHeight="1">
      <c r="A1076" s="277" t="s">
        <v>80</v>
      </c>
      <c r="B1076" s="141" t="s">
        <v>134</v>
      </c>
      <c r="C1076" s="67" t="s">
        <v>128</v>
      </c>
      <c r="D1076" s="67" t="s">
        <v>150</v>
      </c>
      <c r="E1076" s="53" t="s">
        <v>532</v>
      </c>
      <c r="F1076" s="69" t="s">
        <v>77</v>
      </c>
      <c r="G1076" s="134"/>
      <c r="H1076" s="89"/>
      <c r="I1076" s="89"/>
      <c r="J1076" s="72">
        <v>320</v>
      </c>
      <c r="K1076" s="162">
        <v>320</v>
      </c>
      <c r="L1076" s="189"/>
      <c r="M1076" s="59"/>
      <c r="N1076" s="65">
        <v>0</v>
      </c>
      <c r="O1076" s="65">
        <f>L1076+M1076+N1076</f>
        <v>0</v>
      </c>
      <c r="P1076" s="374">
        <f>M1076+N1076+O1076</f>
        <v>0</v>
      </c>
      <c r="Q1076" s="375">
        <f>N1076+O1076+P1076</f>
        <v>0</v>
      </c>
    </row>
    <row r="1077" spans="1:17" ht="16.5" customHeight="1" thickBot="1">
      <c r="A1077" s="278" t="s">
        <v>93</v>
      </c>
      <c r="B1077" s="139" t="s">
        <v>134</v>
      </c>
      <c r="C1077" s="87" t="s">
        <v>128</v>
      </c>
      <c r="D1077" s="87" t="s">
        <v>150</v>
      </c>
      <c r="E1077" s="74" t="s">
        <v>532</v>
      </c>
      <c r="F1077" s="88" t="s">
        <v>169</v>
      </c>
      <c r="G1077" s="70">
        <f>G1078</f>
        <v>23549.4</v>
      </c>
      <c r="H1077" s="70">
        <f>H1078</f>
        <v>24774</v>
      </c>
      <c r="I1077" s="70">
        <f>I1078</f>
        <v>25987.9</v>
      </c>
      <c r="J1077" s="70">
        <f>J1078</f>
        <v>-320</v>
      </c>
      <c r="K1077" s="162">
        <v>23229.4</v>
      </c>
      <c r="L1077" s="189"/>
      <c r="M1077" s="59"/>
      <c r="N1077" s="65">
        <f>N1078</f>
        <v>19718.3</v>
      </c>
      <c r="O1077" s="65">
        <f>O1078</f>
        <v>19718.3</v>
      </c>
      <c r="P1077" s="374">
        <f>P1078</f>
        <v>20687.8</v>
      </c>
      <c r="Q1077" s="375">
        <f>Q1078</f>
        <v>20687.8</v>
      </c>
    </row>
    <row r="1078" spans="1:17" ht="16.5" customHeight="1" hidden="1" thickBot="1">
      <c r="A1078" s="318"/>
      <c r="B1078" s="35"/>
      <c r="C1078" s="60"/>
      <c r="D1078" s="60"/>
      <c r="E1078" s="60"/>
      <c r="F1078" s="62" t="s">
        <v>177</v>
      </c>
      <c r="G1078" s="137">
        <v>23549.4</v>
      </c>
      <c r="H1078" s="100">
        <v>24774</v>
      </c>
      <c r="I1078" s="100">
        <v>25987.9</v>
      </c>
      <c r="J1078" s="137">
        <v>-320</v>
      </c>
      <c r="K1078" s="162">
        <v>23229.4</v>
      </c>
      <c r="L1078" s="189"/>
      <c r="M1078" s="59"/>
      <c r="N1078" s="65">
        <v>19718.3</v>
      </c>
      <c r="O1078" s="65">
        <v>19718.3</v>
      </c>
      <c r="P1078" s="374">
        <v>20687.8</v>
      </c>
      <c r="Q1078" s="375">
        <v>20687.8</v>
      </c>
    </row>
    <row r="1079" spans="1:17" ht="16.5" customHeight="1">
      <c r="A1079" s="269" t="s">
        <v>537</v>
      </c>
      <c r="B1079" s="43" t="s">
        <v>226</v>
      </c>
      <c r="C1079" s="44" t="s">
        <v>128</v>
      </c>
      <c r="D1079" s="44" t="s">
        <v>150</v>
      </c>
      <c r="E1079" s="44" t="s">
        <v>534</v>
      </c>
      <c r="F1079" s="46"/>
      <c r="G1079" s="131">
        <f aca="true" t="shared" si="192" ref="G1079:N1080">G1080</f>
        <v>8305.880000000001</v>
      </c>
      <c r="H1079" s="131" t="e">
        <f t="shared" si="192"/>
        <v>#REF!</v>
      </c>
      <c r="I1079" s="131" t="e">
        <f t="shared" si="192"/>
        <v>#REF!</v>
      </c>
      <c r="J1079" s="131">
        <f t="shared" si="192"/>
        <v>-1750.10537</v>
      </c>
      <c r="K1079" s="172">
        <f t="shared" si="192"/>
        <v>6555.77463</v>
      </c>
      <c r="L1079" s="172">
        <f t="shared" si="192"/>
        <v>0</v>
      </c>
      <c r="M1079" s="172">
        <f t="shared" si="192"/>
        <v>0</v>
      </c>
      <c r="N1079" s="172">
        <f t="shared" si="192"/>
        <v>0</v>
      </c>
      <c r="O1079" s="131">
        <f aca="true" t="shared" si="193" ref="O1079:Q1080">O1080</f>
        <v>5186.7</v>
      </c>
      <c r="P1079" s="368">
        <f t="shared" si="193"/>
        <v>5186.7</v>
      </c>
      <c r="Q1079" s="369">
        <f t="shared" si="193"/>
        <v>5186.7</v>
      </c>
    </row>
    <row r="1080" spans="1:17" ht="51">
      <c r="A1080" s="288" t="s">
        <v>538</v>
      </c>
      <c r="B1080" s="48" t="s">
        <v>226</v>
      </c>
      <c r="C1080" s="49" t="s">
        <v>128</v>
      </c>
      <c r="D1080" s="49" t="s">
        <v>150</v>
      </c>
      <c r="E1080" s="49" t="s">
        <v>535</v>
      </c>
      <c r="F1080" s="55"/>
      <c r="G1080" s="71">
        <f t="shared" si="192"/>
        <v>8305.880000000001</v>
      </c>
      <c r="H1080" s="52" t="e">
        <f t="shared" si="192"/>
        <v>#REF!</v>
      </c>
      <c r="I1080" s="52" t="e">
        <f t="shared" si="192"/>
        <v>#REF!</v>
      </c>
      <c r="J1080" s="71">
        <f t="shared" si="192"/>
        <v>-1750.10537</v>
      </c>
      <c r="K1080" s="173">
        <f t="shared" si="192"/>
        <v>6555.77463</v>
      </c>
      <c r="L1080" s="173">
        <f t="shared" si="192"/>
        <v>0</v>
      </c>
      <c r="M1080" s="173">
        <f t="shared" si="192"/>
        <v>0</v>
      </c>
      <c r="N1080" s="173">
        <f t="shared" si="192"/>
        <v>0</v>
      </c>
      <c r="O1080" s="71">
        <f t="shared" si="193"/>
        <v>5186.7</v>
      </c>
      <c r="P1080" s="370">
        <f t="shared" si="193"/>
        <v>5186.7</v>
      </c>
      <c r="Q1080" s="371">
        <f t="shared" si="193"/>
        <v>5186.7</v>
      </c>
    </row>
    <row r="1081" spans="1:17" ht="38.25">
      <c r="A1081" s="293" t="s">
        <v>539</v>
      </c>
      <c r="B1081" s="48" t="s">
        <v>226</v>
      </c>
      <c r="C1081" s="49" t="s">
        <v>128</v>
      </c>
      <c r="D1081" s="49" t="s">
        <v>150</v>
      </c>
      <c r="E1081" s="49" t="s">
        <v>536</v>
      </c>
      <c r="F1081" s="51"/>
      <c r="G1081" s="71">
        <f aca="true" t="shared" si="194" ref="G1081:N1081">G1082+G1083</f>
        <v>8305.880000000001</v>
      </c>
      <c r="H1081" s="71" t="e">
        <f t="shared" si="194"/>
        <v>#REF!</v>
      </c>
      <c r="I1081" s="71" t="e">
        <f t="shared" si="194"/>
        <v>#REF!</v>
      </c>
      <c r="J1081" s="71">
        <f t="shared" si="194"/>
        <v>-1750.10537</v>
      </c>
      <c r="K1081" s="173">
        <f t="shared" si="194"/>
        <v>6555.77463</v>
      </c>
      <c r="L1081" s="173">
        <f t="shared" si="194"/>
        <v>0</v>
      </c>
      <c r="M1081" s="173">
        <f t="shared" si="194"/>
        <v>0</v>
      </c>
      <c r="N1081" s="173">
        <f t="shared" si="194"/>
        <v>0</v>
      </c>
      <c r="O1081" s="71">
        <f>O1082+O1083</f>
        <v>5186.7</v>
      </c>
      <c r="P1081" s="370">
        <f>P1082+P1083</f>
        <v>5186.7</v>
      </c>
      <c r="Q1081" s="371">
        <f>Q1082+Q1083</f>
        <v>5186.7</v>
      </c>
    </row>
    <row r="1082" spans="1:17" ht="16.5" customHeight="1">
      <c r="A1082" s="277" t="s">
        <v>90</v>
      </c>
      <c r="B1082" s="99" t="s">
        <v>226</v>
      </c>
      <c r="C1082" s="53" t="s">
        <v>128</v>
      </c>
      <c r="D1082" s="53" t="s">
        <v>150</v>
      </c>
      <c r="E1082" s="53" t="s">
        <v>536</v>
      </c>
      <c r="F1082" s="55" t="s">
        <v>83</v>
      </c>
      <c r="G1082" s="65">
        <v>5303</v>
      </c>
      <c r="H1082" s="59" t="e">
        <f>#REF!</f>
        <v>#REF!</v>
      </c>
      <c r="I1082" s="59" t="e">
        <f>#REF!</f>
        <v>#REF!</v>
      </c>
      <c r="J1082" s="65">
        <v>0</v>
      </c>
      <c r="K1082" s="164">
        <f>G1082+J1082</f>
        <v>5303</v>
      </c>
      <c r="L1082" s="189"/>
      <c r="M1082" s="59"/>
      <c r="N1082" s="65"/>
      <c r="O1082" s="65">
        <v>5186.7</v>
      </c>
      <c r="P1082" s="374">
        <v>5186.7</v>
      </c>
      <c r="Q1082" s="375">
        <v>5186.7</v>
      </c>
    </row>
    <row r="1083" spans="1:17" ht="16.5" customHeight="1" thickBot="1">
      <c r="A1083" s="271" t="s">
        <v>90</v>
      </c>
      <c r="B1083" s="99" t="s">
        <v>226</v>
      </c>
      <c r="C1083" s="53" t="s">
        <v>128</v>
      </c>
      <c r="D1083" s="53" t="s">
        <v>150</v>
      </c>
      <c r="E1083" s="53" t="s">
        <v>544</v>
      </c>
      <c r="F1083" s="55" t="s">
        <v>83</v>
      </c>
      <c r="G1083" s="65">
        <v>3002.88</v>
      </c>
      <c r="H1083" s="59" t="e">
        <f>#REF!</f>
        <v>#REF!</v>
      </c>
      <c r="I1083" s="59" t="e">
        <f>#REF!</f>
        <v>#REF!</v>
      </c>
      <c r="J1083" s="65">
        <v>-1750.10537</v>
      </c>
      <c r="K1083" s="164">
        <f>G1083+J1083</f>
        <v>1252.7746300000001</v>
      </c>
      <c r="L1083" s="189"/>
      <c r="M1083" s="59"/>
      <c r="N1083" s="65"/>
      <c r="O1083" s="65">
        <f>L1083+M1083+N1083</f>
        <v>0</v>
      </c>
      <c r="P1083" s="374">
        <f>M1083+N1083+O1083</f>
        <v>0</v>
      </c>
      <c r="Q1083" s="375">
        <f>N1083+O1083+P1083</f>
        <v>0</v>
      </c>
    </row>
    <row r="1084" spans="1:17" ht="16.5" customHeight="1" thickBot="1">
      <c r="A1084" s="268" t="s">
        <v>36</v>
      </c>
      <c r="B1084" s="16" t="s">
        <v>134</v>
      </c>
      <c r="C1084" s="17" t="s">
        <v>128</v>
      </c>
      <c r="D1084" s="17" t="s">
        <v>184</v>
      </c>
      <c r="E1084" s="17"/>
      <c r="F1084" s="19"/>
      <c r="G1084" s="130" t="e">
        <f aca="true" t="shared" si="195" ref="G1084:N1084">G1134+G1085</f>
        <v>#REF!</v>
      </c>
      <c r="H1084" s="130" t="e">
        <f t="shared" si="195"/>
        <v>#REF!</v>
      </c>
      <c r="I1084" s="130" t="e">
        <f t="shared" si="195"/>
        <v>#REF!</v>
      </c>
      <c r="J1084" s="130" t="e">
        <f t="shared" si="195"/>
        <v>#REF!</v>
      </c>
      <c r="K1084" s="171" t="e">
        <f t="shared" si="195"/>
        <v>#REF!</v>
      </c>
      <c r="L1084" s="171" t="e">
        <f t="shared" si="195"/>
        <v>#REF!</v>
      </c>
      <c r="M1084" s="171" t="e">
        <f t="shared" si="195"/>
        <v>#REF!</v>
      </c>
      <c r="N1084" s="171">
        <f t="shared" si="195"/>
        <v>1219.2</v>
      </c>
      <c r="O1084" s="130">
        <f>O1134+O1085</f>
        <v>3194.2</v>
      </c>
      <c r="P1084" s="366">
        <f>P1134+P1085</f>
        <v>3234.2</v>
      </c>
      <c r="Q1084" s="367">
        <f>Q1134+Q1085</f>
        <v>3254.2</v>
      </c>
    </row>
    <row r="1085" spans="1:17" s="33" customFormat="1" ht="25.5">
      <c r="A1085" s="275" t="s">
        <v>525</v>
      </c>
      <c r="B1085" s="73" t="s">
        <v>134</v>
      </c>
      <c r="C1085" s="81" t="s">
        <v>128</v>
      </c>
      <c r="D1085" s="81" t="s">
        <v>184</v>
      </c>
      <c r="E1085" s="81" t="s">
        <v>524</v>
      </c>
      <c r="F1085" s="77"/>
      <c r="G1085" s="64">
        <f aca="true" t="shared" si="196" ref="G1085:N1085">G1108</f>
        <v>1078.1000000000001</v>
      </c>
      <c r="H1085" s="64" t="e">
        <f t="shared" si="196"/>
        <v>#REF!</v>
      </c>
      <c r="I1085" s="64" t="e">
        <f t="shared" si="196"/>
        <v>#REF!</v>
      </c>
      <c r="J1085" s="64">
        <f t="shared" si="196"/>
        <v>77.7</v>
      </c>
      <c r="K1085" s="176">
        <f t="shared" si="196"/>
        <v>1155.8</v>
      </c>
      <c r="L1085" s="176">
        <f t="shared" si="196"/>
        <v>0</v>
      </c>
      <c r="M1085" s="176">
        <f t="shared" si="196"/>
        <v>0</v>
      </c>
      <c r="N1085" s="176">
        <f t="shared" si="196"/>
        <v>1219.2</v>
      </c>
      <c r="O1085" s="64">
        <f>O1108</f>
        <v>1219.2</v>
      </c>
      <c r="P1085" s="380">
        <f>P1108</f>
        <v>1219.2</v>
      </c>
      <c r="Q1085" s="381">
        <f>Q1108</f>
        <v>1219.2</v>
      </c>
    </row>
    <row r="1086" spans="1:17" ht="6" customHeight="1" hidden="1">
      <c r="A1086" s="270" t="s">
        <v>151</v>
      </c>
      <c r="B1086" s="48" t="s">
        <v>134</v>
      </c>
      <c r="C1086" s="53" t="s">
        <v>128</v>
      </c>
      <c r="D1086" s="53" t="s">
        <v>184</v>
      </c>
      <c r="E1086" s="53" t="s">
        <v>136</v>
      </c>
      <c r="F1086" s="55" t="s">
        <v>133</v>
      </c>
      <c r="G1086" s="71">
        <f>G1087+G1107</f>
        <v>1078.1000000000001</v>
      </c>
      <c r="H1086" s="52" t="e">
        <f>H1087+H1107</f>
        <v>#REF!</v>
      </c>
      <c r="I1086" s="52" t="e">
        <f>I1087+I1107</f>
        <v>#REF!</v>
      </c>
      <c r="J1086" s="71">
        <f>J1087+J1107</f>
        <v>77.7</v>
      </c>
      <c r="K1086" s="173">
        <f>K1087+K1107</f>
        <v>1155.8</v>
      </c>
      <c r="L1086" s="187"/>
      <c r="M1086" s="52"/>
      <c r="N1086" s="71"/>
      <c r="O1086" s="71"/>
      <c r="P1086" s="370"/>
      <c r="Q1086" s="371"/>
    </row>
    <row r="1087" spans="1:17" ht="12.75" hidden="1">
      <c r="A1087" s="270" t="s">
        <v>139</v>
      </c>
      <c r="B1087" s="48" t="s">
        <v>134</v>
      </c>
      <c r="C1087" s="53" t="s">
        <v>128</v>
      </c>
      <c r="D1087" s="53" t="s">
        <v>184</v>
      </c>
      <c r="E1087" s="53" t="s">
        <v>136</v>
      </c>
      <c r="F1087" s="55" t="s">
        <v>140</v>
      </c>
      <c r="G1087" s="71">
        <f>G1088+G1103</f>
        <v>0</v>
      </c>
      <c r="H1087" s="52">
        <f>H1088+H1103</f>
        <v>0</v>
      </c>
      <c r="I1087" s="52">
        <f>I1088+I1103</f>
        <v>0</v>
      </c>
      <c r="J1087" s="71">
        <f>J1088+J1103</f>
        <v>0</v>
      </c>
      <c r="K1087" s="173">
        <f>K1088+K1103</f>
        <v>0</v>
      </c>
      <c r="L1087" s="187"/>
      <c r="M1087" s="52"/>
      <c r="N1087" s="71"/>
      <c r="O1087" s="71"/>
      <c r="P1087" s="370"/>
      <c r="Q1087" s="371"/>
    </row>
    <row r="1088" spans="1:17" ht="12.75" hidden="1">
      <c r="A1088" s="270" t="s">
        <v>141</v>
      </c>
      <c r="B1088" s="48" t="s">
        <v>134</v>
      </c>
      <c r="C1088" s="53" t="s">
        <v>128</v>
      </c>
      <c r="D1088" s="53" t="s">
        <v>184</v>
      </c>
      <c r="E1088" s="53" t="s">
        <v>136</v>
      </c>
      <c r="F1088" s="55" t="s">
        <v>140</v>
      </c>
      <c r="G1088" s="71">
        <f>G1089+G1093</f>
        <v>0</v>
      </c>
      <c r="H1088" s="52">
        <f>H1089+H1093</f>
        <v>0</v>
      </c>
      <c r="I1088" s="52">
        <f>I1089+I1093</f>
        <v>0</v>
      </c>
      <c r="J1088" s="71">
        <f>J1089+J1093</f>
        <v>0</v>
      </c>
      <c r="K1088" s="173">
        <f>K1089+K1093</f>
        <v>0</v>
      </c>
      <c r="L1088" s="187"/>
      <c r="M1088" s="52"/>
      <c r="N1088" s="71"/>
      <c r="O1088" s="71"/>
      <c r="P1088" s="370"/>
      <c r="Q1088" s="371"/>
    </row>
    <row r="1089" spans="1:17" ht="12.75" hidden="1">
      <c r="A1089" s="288" t="s">
        <v>236</v>
      </c>
      <c r="B1089" s="48" t="s">
        <v>134</v>
      </c>
      <c r="C1089" s="53" t="s">
        <v>128</v>
      </c>
      <c r="D1089" s="53" t="s">
        <v>184</v>
      </c>
      <c r="E1089" s="53" t="s">
        <v>136</v>
      </c>
      <c r="F1089" s="55" t="s">
        <v>140</v>
      </c>
      <c r="G1089" s="71">
        <f>SUM(G1090:G1092)</f>
        <v>0</v>
      </c>
      <c r="H1089" s="52">
        <f>SUM(H1090:H1092)</f>
        <v>0</v>
      </c>
      <c r="I1089" s="52">
        <f>SUM(I1090:I1092)</f>
        <v>0</v>
      </c>
      <c r="J1089" s="71">
        <f>SUM(J1090:J1092)</f>
        <v>0</v>
      </c>
      <c r="K1089" s="173">
        <f>SUM(K1090:K1092)</f>
        <v>0</v>
      </c>
      <c r="L1089" s="187"/>
      <c r="M1089" s="52"/>
      <c r="N1089" s="71"/>
      <c r="O1089" s="71"/>
      <c r="P1089" s="370"/>
      <c r="Q1089" s="371"/>
    </row>
    <row r="1090" spans="1:17" ht="12.75" hidden="1">
      <c r="A1090" s="286" t="s">
        <v>143</v>
      </c>
      <c r="B1090" s="48" t="s">
        <v>134</v>
      </c>
      <c r="C1090" s="53" t="s">
        <v>128</v>
      </c>
      <c r="D1090" s="53" t="s">
        <v>184</v>
      </c>
      <c r="E1090" s="53" t="s">
        <v>136</v>
      </c>
      <c r="F1090" s="55" t="s">
        <v>140</v>
      </c>
      <c r="G1090" s="71"/>
      <c r="H1090" s="52"/>
      <c r="I1090" s="52"/>
      <c r="J1090" s="71"/>
      <c r="K1090" s="173"/>
      <c r="L1090" s="187"/>
      <c r="M1090" s="52"/>
      <c r="N1090" s="71"/>
      <c r="O1090" s="71"/>
      <c r="P1090" s="370"/>
      <c r="Q1090" s="371"/>
    </row>
    <row r="1091" spans="1:17" ht="12.75" hidden="1">
      <c r="A1091" s="286" t="s">
        <v>144</v>
      </c>
      <c r="B1091" s="48" t="s">
        <v>134</v>
      </c>
      <c r="C1091" s="53" t="s">
        <v>128</v>
      </c>
      <c r="D1091" s="53" t="s">
        <v>184</v>
      </c>
      <c r="E1091" s="53" t="s">
        <v>136</v>
      </c>
      <c r="F1091" s="55" t="s">
        <v>140</v>
      </c>
      <c r="G1091" s="71"/>
      <c r="H1091" s="52"/>
      <c r="I1091" s="52"/>
      <c r="J1091" s="71"/>
      <c r="K1091" s="173"/>
      <c r="L1091" s="187"/>
      <c r="M1091" s="52"/>
      <c r="N1091" s="71"/>
      <c r="O1091" s="71"/>
      <c r="P1091" s="370"/>
      <c r="Q1091" s="371"/>
    </row>
    <row r="1092" spans="1:17" ht="12.75" hidden="1">
      <c r="A1092" s="286" t="s">
        <v>237</v>
      </c>
      <c r="B1092" s="48" t="s">
        <v>134</v>
      </c>
      <c r="C1092" s="53" t="s">
        <v>128</v>
      </c>
      <c r="D1092" s="53" t="s">
        <v>184</v>
      </c>
      <c r="E1092" s="53" t="s">
        <v>136</v>
      </c>
      <c r="F1092" s="55" t="s">
        <v>140</v>
      </c>
      <c r="G1092" s="71"/>
      <c r="H1092" s="52"/>
      <c r="I1092" s="52"/>
      <c r="J1092" s="71"/>
      <c r="K1092" s="173"/>
      <c r="L1092" s="187"/>
      <c r="M1092" s="52"/>
      <c r="N1092" s="71"/>
      <c r="O1092" s="71"/>
      <c r="P1092" s="370"/>
      <c r="Q1092" s="371"/>
    </row>
    <row r="1093" spans="1:17" ht="12.75" hidden="1">
      <c r="A1093" s="286" t="s">
        <v>234</v>
      </c>
      <c r="B1093" s="48" t="s">
        <v>134</v>
      </c>
      <c r="C1093" s="53" t="s">
        <v>128</v>
      </c>
      <c r="D1093" s="53" t="s">
        <v>184</v>
      </c>
      <c r="E1093" s="53" t="s">
        <v>136</v>
      </c>
      <c r="F1093" s="55" t="s">
        <v>140</v>
      </c>
      <c r="G1093" s="71">
        <f>SUM(G1094:G1099)</f>
        <v>0</v>
      </c>
      <c r="H1093" s="52">
        <f>SUM(H1094:H1099)</f>
        <v>0</v>
      </c>
      <c r="I1093" s="52">
        <f>SUM(I1094:I1099)</f>
        <v>0</v>
      </c>
      <c r="J1093" s="71">
        <f>SUM(J1094:J1099)</f>
        <v>0</v>
      </c>
      <c r="K1093" s="173">
        <f>SUM(K1094:K1099)</f>
        <v>0</v>
      </c>
      <c r="L1093" s="187"/>
      <c r="M1093" s="52"/>
      <c r="N1093" s="71"/>
      <c r="O1093" s="71"/>
      <c r="P1093" s="370"/>
      <c r="Q1093" s="371"/>
    </row>
    <row r="1094" spans="1:17" ht="12.75" hidden="1">
      <c r="A1094" s="286" t="s">
        <v>238</v>
      </c>
      <c r="B1094" s="48" t="s">
        <v>134</v>
      </c>
      <c r="C1094" s="53" t="s">
        <v>128</v>
      </c>
      <c r="D1094" s="53" t="s">
        <v>184</v>
      </c>
      <c r="E1094" s="53" t="s">
        <v>136</v>
      </c>
      <c r="F1094" s="55" t="s">
        <v>140</v>
      </c>
      <c r="G1094" s="71"/>
      <c r="H1094" s="52"/>
      <c r="I1094" s="52"/>
      <c r="J1094" s="71"/>
      <c r="K1094" s="173"/>
      <c r="L1094" s="187"/>
      <c r="M1094" s="52"/>
      <c r="N1094" s="71"/>
      <c r="O1094" s="71"/>
      <c r="P1094" s="370"/>
      <c r="Q1094" s="371"/>
    </row>
    <row r="1095" spans="1:17" ht="12.75" hidden="1">
      <c r="A1095" s="286" t="s">
        <v>239</v>
      </c>
      <c r="B1095" s="48" t="s">
        <v>134</v>
      </c>
      <c r="C1095" s="53" t="s">
        <v>128</v>
      </c>
      <c r="D1095" s="53" t="s">
        <v>184</v>
      </c>
      <c r="E1095" s="53" t="s">
        <v>136</v>
      </c>
      <c r="F1095" s="55" t="s">
        <v>140</v>
      </c>
      <c r="G1095" s="71">
        <f>44-44</f>
        <v>0</v>
      </c>
      <c r="H1095" s="52">
        <f>44-44</f>
        <v>0</v>
      </c>
      <c r="I1095" s="52">
        <f>44-44</f>
        <v>0</v>
      </c>
      <c r="J1095" s="71">
        <f>44-44</f>
        <v>0</v>
      </c>
      <c r="K1095" s="173">
        <f>44-44</f>
        <v>0</v>
      </c>
      <c r="L1095" s="187"/>
      <c r="M1095" s="52"/>
      <c r="N1095" s="71"/>
      <c r="O1095" s="71"/>
      <c r="P1095" s="370"/>
      <c r="Q1095" s="371"/>
    </row>
    <row r="1096" spans="1:17" ht="12" customHeight="1" hidden="1">
      <c r="A1096" s="286" t="s">
        <v>173</v>
      </c>
      <c r="B1096" s="48" t="s">
        <v>134</v>
      </c>
      <c r="C1096" s="53" t="s">
        <v>128</v>
      </c>
      <c r="D1096" s="53" t="s">
        <v>184</v>
      </c>
      <c r="E1096" s="53" t="s">
        <v>152</v>
      </c>
      <c r="F1096" s="55" t="s">
        <v>140</v>
      </c>
      <c r="G1096" s="71"/>
      <c r="H1096" s="52"/>
      <c r="I1096" s="52"/>
      <c r="J1096" s="71"/>
      <c r="K1096" s="173"/>
      <c r="L1096" s="187"/>
      <c r="M1096" s="52"/>
      <c r="N1096" s="71"/>
      <c r="O1096" s="71"/>
      <c r="P1096" s="370"/>
      <c r="Q1096" s="371"/>
    </row>
    <row r="1097" spans="1:17" ht="0.75" customHeight="1" hidden="1">
      <c r="A1097" s="288" t="s">
        <v>240</v>
      </c>
      <c r="B1097" s="48" t="s">
        <v>134</v>
      </c>
      <c r="C1097" s="53" t="s">
        <v>128</v>
      </c>
      <c r="D1097" s="53" t="s">
        <v>184</v>
      </c>
      <c r="E1097" s="53" t="s">
        <v>136</v>
      </c>
      <c r="F1097" s="55" t="s">
        <v>140</v>
      </c>
      <c r="G1097" s="71"/>
      <c r="H1097" s="52"/>
      <c r="I1097" s="52"/>
      <c r="J1097" s="71"/>
      <c r="K1097" s="173"/>
      <c r="L1097" s="187"/>
      <c r="M1097" s="52"/>
      <c r="N1097" s="71"/>
      <c r="O1097" s="71"/>
      <c r="P1097" s="370"/>
      <c r="Q1097" s="371"/>
    </row>
    <row r="1098" spans="1:17" ht="12.75" hidden="1">
      <c r="A1098" s="286" t="s">
        <v>241</v>
      </c>
      <c r="B1098" s="48" t="s">
        <v>134</v>
      </c>
      <c r="C1098" s="53" t="s">
        <v>128</v>
      </c>
      <c r="D1098" s="53" t="s">
        <v>184</v>
      </c>
      <c r="E1098" s="53" t="s">
        <v>136</v>
      </c>
      <c r="F1098" s="55" t="s">
        <v>140</v>
      </c>
      <c r="G1098" s="71"/>
      <c r="H1098" s="52"/>
      <c r="I1098" s="52"/>
      <c r="J1098" s="71"/>
      <c r="K1098" s="173"/>
      <c r="L1098" s="187"/>
      <c r="M1098" s="52"/>
      <c r="N1098" s="71"/>
      <c r="O1098" s="71"/>
      <c r="P1098" s="370"/>
      <c r="Q1098" s="371"/>
    </row>
    <row r="1099" spans="1:17" ht="14.25" customHeight="1" hidden="1">
      <c r="A1099" s="286" t="s">
        <v>206</v>
      </c>
      <c r="B1099" s="48" t="s">
        <v>134</v>
      </c>
      <c r="C1099" s="53" t="s">
        <v>128</v>
      </c>
      <c r="D1099" s="53" t="s">
        <v>184</v>
      </c>
      <c r="E1099" s="53" t="s">
        <v>136</v>
      </c>
      <c r="F1099" s="55" t="s">
        <v>140</v>
      </c>
      <c r="G1099" s="71"/>
      <c r="H1099" s="52"/>
      <c r="I1099" s="52"/>
      <c r="J1099" s="71"/>
      <c r="K1099" s="173"/>
      <c r="L1099" s="187"/>
      <c r="M1099" s="52"/>
      <c r="N1099" s="71"/>
      <c r="O1099" s="71"/>
      <c r="P1099" s="370"/>
      <c r="Q1099" s="371"/>
    </row>
    <row r="1100" spans="1:17" ht="12.75" hidden="1">
      <c r="A1100" s="288" t="s">
        <v>319</v>
      </c>
      <c r="B1100" s="48" t="s">
        <v>134</v>
      </c>
      <c r="C1100" s="53" t="s">
        <v>128</v>
      </c>
      <c r="D1100" s="53" t="s">
        <v>184</v>
      </c>
      <c r="E1100" s="53" t="s">
        <v>136</v>
      </c>
      <c r="F1100" s="55" t="s">
        <v>140</v>
      </c>
      <c r="G1100" s="71"/>
      <c r="H1100" s="52"/>
      <c r="I1100" s="52"/>
      <c r="J1100" s="71"/>
      <c r="K1100" s="173"/>
      <c r="L1100" s="187"/>
      <c r="M1100" s="52"/>
      <c r="N1100" s="71"/>
      <c r="O1100" s="71"/>
      <c r="P1100" s="370"/>
      <c r="Q1100" s="371"/>
    </row>
    <row r="1101" spans="1:17" ht="11.25" customHeight="1" hidden="1">
      <c r="A1101" s="288" t="s">
        <v>320</v>
      </c>
      <c r="B1101" s="48" t="s">
        <v>134</v>
      </c>
      <c r="C1101" s="53" t="s">
        <v>128</v>
      </c>
      <c r="D1101" s="53" t="s">
        <v>184</v>
      </c>
      <c r="E1101" s="53" t="s">
        <v>136</v>
      </c>
      <c r="F1101" s="55" t="s">
        <v>140</v>
      </c>
      <c r="G1101" s="71"/>
      <c r="H1101" s="52"/>
      <c r="I1101" s="52"/>
      <c r="J1101" s="71"/>
      <c r="K1101" s="173"/>
      <c r="L1101" s="187"/>
      <c r="M1101" s="52"/>
      <c r="N1101" s="71"/>
      <c r="O1101" s="71"/>
      <c r="P1101" s="370"/>
      <c r="Q1101" s="371"/>
    </row>
    <row r="1102" spans="1:17" ht="13.5" customHeight="1" hidden="1">
      <c r="A1102" s="286" t="s">
        <v>158</v>
      </c>
      <c r="B1102" s="48" t="s">
        <v>134</v>
      </c>
      <c r="C1102" s="53" t="s">
        <v>128</v>
      </c>
      <c r="D1102" s="53" t="s">
        <v>184</v>
      </c>
      <c r="E1102" s="53" t="s">
        <v>136</v>
      </c>
      <c r="F1102" s="55" t="s">
        <v>140</v>
      </c>
      <c r="G1102" s="71">
        <f>6-6</f>
        <v>0</v>
      </c>
      <c r="H1102" s="52">
        <f>6-6</f>
        <v>0</v>
      </c>
      <c r="I1102" s="52">
        <f>6-6</f>
        <v>0</v>
      </c>
      <c r="J1102" s="71">
        <f>6-6</f>
        <v>0</v>
      </c>
      <c r="K1102" s="173">
        <f>6-6</f>
        <v>0</v>
      </c>
      <c r="L1102" s="187"/>
      <c r="M1102" s="52"/>
      <c r="N1102" s="71"/>
      <c r="O1102" s="71"/>
      <c r="P1102" s="370"/>
      <c r="Q1102" s="371"/>
    </row>
    <row r="1103" spans="1:17" ht="14.25" customHeight="1" hidden="1">
      <c r="A1103" s="270" t="s">
        <v>159</v>
      </c>
      <c r="B1103" s="48" t="s">
        <v>134</v>
      </c>
      <c r="C1103" s="53" t="s">
        <v>128</v>
      </c>
      <c r="D1103" s="53" t="s">
        <v>184</v>
      </c>
      <c r="E1103" s="53" t="s">
        <v>136</v>
      </c>
      <c r="F1103" s="55" t="s">
        <v>140</v>
      </c>
      <c r="G1103" s="71">
        <f>SUM(G1104:G1106)</f>
        <v>0</v>
      </c>
      <c r="H1103" s="52">
        <f>SUM(H1104:H1106)</f>
        <v>0</v>
      </c>
      <c r="I1103" s="52">
        <f>SUM(I1104:I1106)</f>
        <v>0</v>
      </c>
      <c r="J1103" s="71">
        <f>SUM(J1104:J1106)</f>
        <v>0</v>
      </c>
      <c r="K1103" s="173">
        <f>SUM(K1104:K1106)</f>
        <v>0</v>
      </c>
      <c r="L1103" s="187"/>
      <c r="M1103" s="52"/>
      <c r="N1103" s="71"/>
      <c r="O1103" s="71"/>
      <c r="P1103" s="370"/>
      <c r="Q1103" s="371"/>
    </row>
    <row r="1104" spans="1:17" ht="12.75" hidden="1">
      <c r="A1104" s="286" t="s">
        <v>160</v>
      </c>
      <c r="B1104" s="48" t="s">
        <v>134</v>
      </c>
      <c r="C1104" s="53" t="s">
        <v>128</v>
      </c>
      <c r="D1104" s="53" t="s">
        <v>184</v>
      </c>
      <c r="E1104" s="53" t="s">
        <v>136</v>
      </c>
      <c r="F1104" s="55" t="s">
        <v>140</v>
      </c>
      <c r="G1104" s="71"/>
      <c r="H1104" s="52"/>
      <c r="I1104" s="52"/>
      <c r="J1104" s="71"/>
      <c r="K1104" s="173"/>
      <c r="L1104" s="187"/>
      <c r="M1104" s="52"/>
      <c r="N1104" s="71"/>
      <c r="O1104" s="71"/>
      <c r="P1104" s="370"/>
      <c r="Q1104" s="371"/>
    </row>
    <row r="1105" spans="1:17" ht="12.75" hidden="1">
      <c r="A1105" s="288" t="s">
        <v>40</v>
      </c>
      <c r="B1105" s="48" t="s">
        <v>134</v>
      </c>
      <c r="C1105" s="53" t="s">
        <v>128</v>
      </c>
      <c r="D1105" s="53" t="s">
        <v>184</v>
      </c>
      <c r="E1105" s="53" t="s">
        <v>136</v>
      </c>
      <c r="F1105" s="55" t="s">
        <v>140</v>
      </c>
      <c r="G1105" s="71"/>
      <c r="H1105" s="52"/>
      <c r="I1105" s="52"/>
      <c r="J1105" s="71"/>
      <c r="K1105" s="173"/>
      <c r="L1105" s="187"/>
      <c r="M1105" s="52"/>
      <c r="N1105" s="71"/>
      <c r="O1105" s="71"/>
      <c r="P1105" s="370"/>
      <c r="Q1105" s="371"/>
    </row>
    <row r="1106" spans="1:17" ht="12.75" customHeight="1" hidden="1">
      <c r="A1106" s="289" t="s">
        <v>161</v>
      </c>
      <c r="B1106" s="66" t="s">
        <v>134</v>
      </c>
      <c r="C1106" s="67" t="s">
        <v>128</v>
      </c>
      <c r="D1106" s="67" t="s">
        <v>184</v>
      </c>
      <c r="E1106" s="67" t="s">
        <v>136</v>
      </c>
      <c r="F1106" s="69" t="s">
        <v>140</v>
      </c>
      <c r="G1106" s="134"/>
      <c r="H1106" s="89"/>
      <c r="I1106" s="89"/>
      <c r="J1106" s="134"/>
      <c r="K1106" s="161"/>
      <c r="L1106" s="187"/>
      <c r="M1106" s="52"/>
      <c r="N1106" s="71"/>
      <c r="O1106" s="71"/>
      <c r="P1106" s="370"/>
      <c r="Q1106" s="371"/>
    </row>
    <row r="1107" spans="1:17" ht="38.25" hidden="1">
      <c r="A1107" s="338" t="s">
        <v>172</v>
      </c>
      <c r="B1107" s="43" t="s">
        <v>134</v>
      </c>
      <c r="C1107" s="44" t="s">
        <v>128</v>
      </c>
      <c r="D1107" s="44" t="s">
        <v>184</v>
      </c>
      <c r="E1107" s="44" t="s">
        <v>136</v>
      </c>
      <c r="F1107" s="46"/>
      <c r="G1107" s="131">
        <f>G1108</f>
        <v>1078.1000000000001</v>
      </c>
      <c r="H1107" s="47" t="e">
        <f>H1108</f>
        <v>#REF!</v>
      </c>
      <c r="I1107" s="47" t="e">
        <f>I1108</f>
        <v>#REF!</v>
      </c>
      <c r="J1107" s="131">
        <f>J1108</f>
        <v>77.7</v>
      </c>
      <c r="K1107" s="172">
        <f>K1108</f>
        <v>1155.8</v>
      </c>
      <c r="L1107" s="187"/>
      <c r="M1107" s="52"/>
      <c r="N1107" s="71"/>
      <c r="O1107" s="71"/>
      <c r="P1107" s="370"/>
      <c r="Q1107" s="371"/>
    </row>
    <row r="1108" spans="1:17" ht="12.75">
      <c r="A1108" s="270" t="s">
        <v>537</v>
      </c>
      <c r="B1108" s="48" t="s">
        <v>134</v>
      </c>
      <c r="C1108" s="49" t="s">
        <v>128</v>
      </c>
      <c r="D1108" s="49" t="s">
        <v>184</v>
      </c>
      <c r="E1108" s="49" t="s">
        <v>534</v>
      </c>
      <c r="F1108" s="51"/>
      <c r="G1108" s="71">
        <f aca="true" t="shared" si="197" ref="G1108:N1110">G1111+G1132</f>
        <v>1078.1000000000001</v>
      </c>
      <c r="H1108" s="71" t="e">
        <f t="shared" si="197"/>
        <v>#REF!</v>
      </c>
      <c r="I1108" s="71" t="e">
        <f t="shared" si="197"/>
        <v>#REF!</v>
      </c>
      <c r="J1108" s="71">
        <f t="shared" si="197"/>
        <v>77.7</v>
      </c>
      <c r="K1108" s="173">
        <f t="shared" si="197"/>
        <v>1155.8</v>
      </c>
      <c r="L1108" s="173">
        <f t="shared" si="197"/>
        <v>0</v>
      </c>
      <c r="M1108" s="173">
        <f t="shared" si="197"/>
        <v>0</v>
      </c>
      <c r="N1108" s="173">
        <f t="shared" si="197"/>
        <v>1219.2</v>
      </c>
      <c r="O1108" s="71">
        <f aca="true" t="shared" si="198" ref="O1108:Q1109">O1109</f>
        <v>1219.2</v>
      </c>
      <c r="P1108" s="370">
        <f t="shared" si="198"/>
        <v>1219.2</v>
      </c>
      <c r="Q1108" s="371">
        <f t="shared" si="198"/>
        <v>1219.2</v>
      </c>
    </row>
    <row r="1109" spans="1:17" ht="63.75">
      <c r="A1109" s="350" t="s">
        <v>542</v>
      </c>
      <c r="B1109" s="48" t="s">
        <v>134</v>
      </c>
      <c r="C1109" s="49" t="s">
        <v>128</v>
      </c>
      <c r="D1109" s="49" t="s">
        <v>184</v>
      </c>
      <c r="E1109" s="49" t="s">
        <v>540</v>
      </c>
      <c r="F1109" s="51"/>
      <c r="G1109" s="71">
        <f t="shared" si="197"/>
        <v>0</v>
      </c>
      <c r="H1109" s="71">
        <f t="shared" si="197"/>
        <v>0</v>
      </c>
      <c r="I1109" s="71">
        <f t="shared" si="197"/>
        <v>0</v>
      </c>
      <c r="J1109" s="71">
        <f t="shared" si="197"/>
        <v>0</v>
      </c>
      <c r="K1109" s="173">
        <f t="shared" si="197"/>
        <v>0</v>
      </c>
      <c r="L1109" s="173">
        <f t="shared" si="197"/>
        <v>0</v>
      </c>
      <c r="M1109" s="173">
        <f t="shared" si="197"/>
        <v>0</v>
      </c>
      <c r="N1109" s="173">
        <f t="shared" si="197"/>
        <v>0</v>
      </c>
      <c r="O1109" s="71">
        <f t="shared" si="198"/>
        <v>1219.2</v>
      </c>
      <c r="P1109" s="370">
        <f t="shared" si="198"/>
        <v>1219.2</v>
      </c>
      <c r="Q1109" s="371">
        <f t="shared" si="198"/>
        <v>1219.2</v>
      </c>
    </row>
    <row r="1110" spans="1:17" ht="51">
      <c r="A1110" s="270" t="s">
        <v>543</v>
      </c>
      <c r="B1110" s="48" t="s">
        <v>134</v>
      </c>
      <c r="C1110" s="49" t="s">
        <v>128</v>
      </c>
      <c r="D1110" s="49" t="s">
        <v>184</v>
      </c>
      <c r="E1110" s="49" t="s">
        <v>541</v>
      </c>
      <c r="F1110" s="51"/>
      <c r="G1110" s="71" t="e">
        <f t="shared" si="197"/>
        <v>#REF!</v>
      </c>
      <c r="H1110" s="71" t="e">
        <f t="shared" si="197"/>
        <v>#REF!</v>
      </c>
      <c r="I1110" s="71" t="e">
        <f t="shared" si="197"/>
        <v>#REF!</v>
      </c>
      <c r="J1110" s="71" t="e">
        <f t="shared" si="197"/>
        <v>#REF!</v>
      </c>
      <c r="K1110" s="173" t="e">
        <f t="shared" si="197"/>
        <v>#REF!</v>
      </c>
      <c r="L1110" s="173" t="e">
        <f t="shared" si="197"/>
        <v>#REF!</v>
      </c>
      <c r="M1110" s="173" t="e">
        <f t="shared" si="197"/>
        <v>#REF!</v>
      </c>
      <c r="N1110" s="173">
        <f t="shared" si="197"/>
        <v>0</v>
      </c>
      <c r="O1110" s="71">
        <f>O1111+O1132</f>
        <v>1219.2</v>
      </c>
      <c r="P1110" s="370">
        <f>P1111+P1132</f>
        <v>1219.2</v>
      </c>
      <c r="Q1110" s="371">
        <f>Q1111+Q1132</f>
        <v>1219.2</v>
      </c>
    </row>
    <row r="1111" spans="1:17" ht="16.5" customHeight="1">
      <c r="A1111" s="277" t="s">
        <v>79</v>
      </c>
      <c r="B1111" s="48" t="s">
        <v>134</v>
      </c>
      <c r="C1111" s="53" t="s">
        <v>128</v>
      </c>
      <c r="D1111" s="53" t="s">
        <v>184</v>
      </c>
      <c r="E1111" s="53" t="s">
        <v>541</v>
      </c>
      <c r="F1111" s="55" t="s">
        <v>76</v>
      </c>
      <c r="G1111" s="65">
        <v>979.7</v>
      </c>
      <c r="H1111" s="59" t="e">
        <f>#REF!+#REF!+#REF!+H1133+#REF!</f>
        <v>#REF!</v>
      </c>
      <c r="I1111" s="59" t="e">
        <f>#REF!+#REF!+#REF!+I1133+#REF!</f>
        <v>#REF!</v>
      </c>
      <c r="J1111" s="65">
        <v>71</v>
      </c>
      <c r="K1111" s="164">
        <v>1050.7</v>
      </c>
      <c r="L1111" s="189"/>
      <c r="M1111" s="59"/>
      <c r="N1111" s="65">
        <v>1219.2</v>
      </c>
      <c r="O1111" s="65">
        <f aca="true" t="shared" si="199" ref="O1111:O1132">L1111+M1111+N1111</f>
        <v>1219.2</v>
      </c>
      <c r="P1111" s="374">
        <v>1219.2</v>
      </c>
      <c r="Q1111" s="375">
        <v>1219.2</v>
      </c>
    </row>
    <row r="1112" spans="1:17" ht="15.75" customHeight="1" hidden="1">
      <c r="A1112" s="277" t="s">
        <v>80</v>
      </c>
      <c r="B1112" s="48" t="s">
        <v>134</v>
      </c>
      <c r="C1112" s="53" t="s">
        <v>128</v>
      </c>
      <c r="D1112" s="53" t="s">
        <v>184</v>
      </c>
      <c r="E1112" s="53" t="s">
        <v>41</v>
      </c>
      <c r="F1112" s="55" t="s">
        <v>140</v>
      </c>
      <c r="G1112" s="71">
        <f>G1113+G1117+G1126</f>
        <v>0</v>
      </c>
      <c r="H1112" s="52">
        <f>H1113+H1117+H1126</f>
        <v>0</v>
      </c>
      <c r="I1112" s="52">
        <f>I1113+I1117+I1126</f>
        <v>0</v>
      </c>
      <c r="J1112" s="71">
        <f>J1113+J1117+J1126</f>
        <v>0</v>
      </c>
      <c r="K1112" s="164">
        <f aca="true" t="shared" si="200" ref="K1112:K1131">G1112+J1112</f>
        <v>0</v>
      </c>
      <c r="L1112" s="189"/>
      <c r="M1112" s="59"/>
      <c r="N1112" s="65">
        <f aca="true" t="shared" si="201" ref="N1112:N1131">K1112+L1112+M1112</f>
        <v>0</v>
      </c>
      <c r="O1112" s="65">
        <f t="shared" si="199"/>
        <v>0</v>
      </c>
      <c r="P1112" s="374">
        <f aca="true" t="shared" si="202" ref="P1112:P1132">M1112+N1112+O1112</f>
        <v>0</v>
      </c>
      <c r="Q1112" s="375">
        <f aca="true" t="shared" si="203" ref="Q1112:Q1132">N1112+O1112+P1112</f>
        <v>0</v>
      </c>
    </row>
    <row r="1113" spans="1:17" ht="12.75" hidden="1">
      <c r="A1113" s="288" t="s">
        <v>236</v>
      </c>
      <c r="B1113" s="48" t="s">
        <v>134</v>
      </c>
      <c r="C1113" s="53" t="s">
        <v>128</v>
      </c>
      <c r="D1113" s="53" t="s">
        <v>184</v>
      </c>
      <c r="E1113" s="53" t="s">
        <v>41</v>
      </c>
      <c r="F1113" s="55" t="s">
        <v>140</v>
      </c>
      <c r="G1113" s="71">
        <f>SUM(G1114:G1116)</f>
        <v>0</v>
      </c>
      <c r="H1113" s="52">
        <f>SUM(H1114:H1116)</f>
        <v>0</v>
      </c>
      <c r="I1113" s="52">
        <f>SUM(I1114:I1116)</f>
        <v>0</v>
      </c>
      <c r="J1113" s="71">
        <f>SUM(J1114:J1116)</f>
        <v>0</v>
      </c>
      <c r="K1113" s="164">
        <f t="shared" si="200"/>
        <v>0</v>
      </c>
      <c r="L1113" s="189"/>
      <c r="M1113" s="59"/>
      <c r="N1113" s="65">
        <f t="shared" si="201"/>
        <v>0</v>
      </c>
      <c r="O1113" s="65">
        <f t="shared" si="199"/>
        <v>0</v>
      </c>
      <c r="P1113" s="374">
        <f t="shared" si="202"/>
        <v>0</v>
      </c>
      <c r="Q1113" s="375">
        <f t="shared" si="203"/>
        <v>0</v>
      </c>
    </row>
    <row r="1114" spans="1:17" ht="12.75" hidden="1">
      <c r="A1114" s="286" t="s">
        <v>143</v>
      </c>
      <c r="B1114" s="48" t="s">
        <v>134</v>
      </c>
      <c r="C1114" s="53" t="s">
        <v>128</v>
      </c>
      <c r="D1114" s="53" t="s">
        <v>184</v>
      </c>
      <c r="E1114" s="53" t="s">
        <v>41</v>
      </c>
      <c r="F1114" s="55" t="s">
        <v>140</v>
      </c>
      <c r="G1114" s="71"/>
      <c r="H1114" s="52"/>
      <c r="I1114" s="52"/>
      <c r="J1114" s="71"/>
      <c r="K1114" s="164">
        <f t="shared" si="200"/>
        <v>0</v>
      </c>
      <c r="L1114" s="189"/>
      <c r="M1114" s="59"/>
      <c r="N1114" s="65">
        <f t="shared" si="201"/>
        <v>0</v>
      </c>
      <c r="O1114" s="65">
        <f t="shared" si="199"/>
        <v>0</v>
      </c>
      <c r="P1114" s="374">
        <f t="shared" si="202"/>
        <v>0</v>
      </c>
      <c r="Q1114" s="375">
        <f t="shared" si="203"/>
        <v>0</v>
      </c>
    </row>
    <row r="1115" spans="1:17" ht="12.75" hidden="1">
      <c r="A1115" s="286" t="s">
        <v>144</v>
      </c>
      <c r="B1115" s="48" t="s">
        <v>134</v>
      </c>
      <c r="C1115" s="53" t="s">
        <v>128</v>
      </c>
      <c r="D1115" s="53" t="s">
        <v>184</v>
      </c>
      <c r="E1115" s="53" t="s">
        <v>41</v>
      </c>
      <c r="F1115" s="55" t="s">
        <v>140</v>
      </c>
      <c r="G1115" s="71"/>
      <c r="H1115" s="52"/>
      <c r="I1115" s="52"/>
      <c r="J1115" s="71"/>
      <c r="K1115" s="164">
        <f t="shared" si="200"/>
        <v>0</v>
      </c>
      <c r="L1115" s="189"/>
      <c r="M1115" s="59"/>
      <c r="N1115" s="65">
        <f t="shared" si="201"/>
        <v>0</v>
      </c>
      <c r="O1115" s="65">
        <f t="shared" si="199"/>
        <v>0</v>
      </c>
      <c r="P1115" s="374">
        <f t="shared" si="202"/>
        <v>0</v>
      </c>
      <c r="Q1115" s="375">
        <f t="shared" si="203"/>
        <v>0</v>
      </c>
    </row>
    <row r="1116" spans="1:17" ht="12.75" hidden="1">
      <c r="A1116" s="286" t="s">
        <v>237</v>
      </c>
      <c r="B1116" s="48" t="s">
        <v>134</v>
      </c>
      <c r="C1116" s="53" t="s">
        <v>128</v>
      </c>
      <c r="D1116" s="53" t="s">
        <v>184</v>
      </c>
      <c r="E1116" s="53" t="s">
        <v>41</v>
      </c>
      <c r="F1116" s="55" t="s">
        <v>140</v>
      </c>
      <c r="G1116" s="71"/>
      <c r="H1116" s="52"/>
      <c r="I1116" s="52"/>
      <c r="J1116" s="71"/>
      <c r="K1116" s="164">
        <f t="shared" si="200"/>
        <v>0</v>
      </c>
      <c r="L1116" s="189"/>
      <c r="M1116" s="59"/>
      <c r="N1116" s="65">
        <f t="shared" si="201"/>
        <v>0</v>
      </c>
      <c r="O1116" s="65">
        <f t="shared" si="199"/>
        <v>0</v>
      </c>
      <c r="P1116" s="374">
        <f t="shared" si="202"/>
        <v>0</v>
      </c>
      <c r="Q1116" s="375">
        <f t="shared" si="203"/>
        <v>0</v>
      </c>
    </row>
    <row r="1117" spans="1:17" ht="12.75" hidden="1">
      <c r="A1117" s="286" t="s">
        <v>234</v>
      </c>
      <c r="B1117" s="48" t="s">
        <v>134</v>
      </c>
      <c r="C1117" s="53" t="s">
        <v>128</v>
      </c>
      <c r="D1117" s="53" t="s">
        <v>184</v>
      </c>
      <c r="E1117" s="53" t="s">
        <v>41</v>
      </c>
      <c r="F1117" s="55" t="s">
        <v>140</v>
      </c>
      <c r="G1117" s="71"/>
      <c r="H1117" s="52"/>
      <c r="I1117" s="52"/>
      <c r="J1117" s="71"/>
      <c r="K1117" s="164">
        <f t="shared" si="200"/>
        <v>0</v>
      </c>
      <c r="L1117" s="189"/>
      <c r="M1117" s="59"/>
      <c r="N1117" s="65">
        <f t="shared" si="201"/>
        <v>0</v>
      </c>
      <c r="O1117" s="65">
        <f t="shared" si="199"/>
        <v>0</v>
      </c>
      <c r="P1117" s="374">
        <f t="shared" si="202"/>
        <v>0</v>
      </c>
      <c r="Q1117" s="375">
        <f t="shared" si="203"/>
        <v>0</v>
      </c>
    </row>
    <row r="1118" spans="1:17" ht="12.75" hidden="1">
      <c r="A1118" s="286" t="s">
        <v>238</v>
      </c>
      <c r="B1118" s="48" t="s">
        <v>134</v>
      </c>
      <c r="C1118" s="53" t="s">
        <v>128</v>
      </c>
      <c r="D1118" s="53" t="s">
        <v>184</v>
      </c>
      <c r="E1118" s="53" t="s">
        <v>41</v>
      </c>
      <c r="F1118" s="55" t="s">
        <v>140</v>
      </c>
      <c r="G1118" s="71"/>
      <c r="H1118" s="52"/>
      <c r="I1118" s="52"/>
      <c r="J1118" s="71"/>
      <c r="K1118" s="164">
        <f t="shared" si="200"/>
        <v>0</v>
      </c>
      <c r="L1118" s="189"/>
      <c r="M1118" s="59"/>
      <c r="N1118" s="65">
        <f t="shared" si="201"/>
        <v>0</v>
      </c>
      <c r="O1118" s="65">
        <f t="shared" si="199"/>
        <v>0</v>
      </c>
      <c r="P1118" s="374">
        <f t="shared" si="202"/>
        <v>0</v>
      </c>
      <c r="Q1118" s="375">
        <f t="shared" si="203"/>
        <v>0</v>
      </c>
    </row>
    <row r="1119" spans="1:17" ht="12.75" customHeight="1" hidden="1">
      <c r="A1119" s="286" t="s">
        <v>239</v>
      </c>
      <c r="B1119" s="48" t="s">
        <v>134</v>
      </c>
      <c r="C1119" s="53" t="s">
        <v>128</v>
      </c>
      <c r="D1119" s="53" t="s">
        <v>184</v>
      </c>
      <c r="E1119" s="53" t="s">
        <v>41</v>
      </c>
      <c r="F1119" s="55" t="s">
        <v>140</v>
      </c>
      <c r="G1119" s="71"/>
      <c r="H1119" s="52"/>
      <c r="I1119" s="52"/>
      <c r="J1119" s="71"/>
      <c r="K1119" s="164">
        <f t="shared" si="200"/>
        <v>0</v>
      </c>
      <c r="L1119" s="189"/>
      <c r="M1119" s="59"/>
      <c r="N1119" s="65">
        <f t="shared" si="201"/>
        <v>0</v>
      </c>
      <c r="O1119" s="65">
        <f t="shared" si="199"/>
        <v>0</v>
      </c>
      <c r="P1119" s="374">
        <f t="shared" si="202"/>
        <v>0</v>
      </c>
      <c r="Q1119" s="375">
        <f t="shared" si="203"/>
        <v>0</v>
      </c>
    </row>
    <row r="1120" spans="1:17" ht="12.75" hidden="1">
      <c r="A1120" s="286" t="s">
        <v>173</v>
      </c>
      <c r="B1120" s="48" t="s">
        <v>134</v>
      </c>
      <c r="C1120" s="53" t="s">
        <v>128</v>
      </c>
      <c r="D1120" s="53" t="s">
        <v>184</v>
      </c>
      <c r="E1120" s="53" t="s">
        <v>41</v>
      </c>
      <c r="F1120" s="55" t="s">
        <v>140</v>
      </c>
      <c r="G1120" s="71"/>
      <c r="H1120" s="52"/>
      <c r="I1120" s="52"/>
      <c r="J1120" s="71"/>
      <c r="K1120" s="164">
        <f t="shared" si="200"/>
        <v>0</v>
      </c>
      <c r="L1120" s="189"/>
      <c r="M1120" s="59"/>
      <c r="N1120" s="65">
        <f t="shared" si="201"/>
        <v>0</v>
      </c>
      <c r="O1120" s="65">
        <f t="shared" si="199"/>
        <v>0</v>
      </c>
      <c r="P1120" s="374">
        <f t="shared" si="202"/>
        <v>0</v>
      </c>
      <c r="Q1120" s="375">
        <f t="shared" si="203"/>
        <v>0</v>
      </c>
    </row>
    <row r="1121" spans="1:17" ht="12.75" hidden="1">
      <c r="A1121" s="288" t="s">
        <v>240</v>
      </c>
      <c r="B1121" s="48" t="s">
        <v>134</v>
      </c>
      <c r="C1121" s="53" t="s">
        <v>128</v>
      </c>
      <c r="D1121" s="53" t="s">
        <v>184</v>
      </c>
      <c r="E1121" s="53" t="s">
        <v>41</v>
      </c>
      <c r="F1121" s="55" t="s">
        <v>140</v>
      </c>
      <c r="G1121" s="71"/>
      <c r="H1121" s="52"/>
      <c r="I1121" s="52"/>
      <c r="J1121" s="71"/>
      <c r="K1121" s="164">
        <f t="shared" si="200"/>
        <v>0</v>
      </c>
      <c r="L1121" s="189"/>
      <c r="M1121" s="59"/>
      <c r="N1121" s="65">
        <f t="shared" si="201"/>
        <v>0</v>
      </c>
      <c r="O1121" s="65">
        <f t="shared" si="199"/>
        <v>0</v>
      </c>
      <c r="P1121" s="374">
        <f t="shared" si="202"/>
        <v>0</v>
      </c>
      <c r="Q1121" s="375">
        <f t="shared" si="203"/>
        <v>0</v>
      </c>
    </row>
    <row r="1122" spans="1:17" ht="12.75" hidden="1">
      <c r="A1122" s="286" t="s">
        <v>241</v>
      </c>
      <c r="B1122" s="48" t="s">
        <v>134</v>
      </c>
      <c r="C1122" s="53" t="s">
        <v>128</v>
      </c>
      <c r="D1122" s="53" t="s">
        <v>184</v>
      </c>
      <c r="E1122" s="53" t="s">
        <v>41</v>
      </c>
      <c r="F1122" s="55" t="s">
        <v>140</v>
      </c>
      <c r="G1122" s="71"/>
      <c r="H1122" s="52"/>
      <c r="I1122" s="52"/>
      <c r="J1122" s="71"/>
      <c r="K1122" s="164">
        <f t="shared" si="200"/>
        <v>0</v>
      </c>
      <c r="L1122" s="189"/>
      <c r="M1122" s="59"/>
      <c r="N1122" s="65">
        <f t="shared" si="201"/>
        <v>0</v>
      </c>
      <c r="O1122" s="65">
        <f t="shared" si="199"/>
        <v>0</v>
      </c>
      <c r="P1122" s="374">
        <f t="shared" si="202"/>
        <v>0</v>
      </c>
      <c r="Q1122" s="375">
        <f t="shared" si="203"/>
        <v>0</v>
      </c>
    </row>
    <row r="1123" spans="1:17" ht="12.75" hidden="1">
      <c r="A1123" s="286" t="s">
        <v>206</v>
      </c>
      <c r="B1123" s="48" t="s">
        <v>134</v>
      </c>
      <c r="C1123" s="53" t="s">
        <v>128</v>
      </c>
      <c r="D1123" s="53" t="s">
        <v>184</v>
      </c>
      <c r="E1123" s="53" t="s">
        <v>41</v>
      </c>
      <c r="F1123" s="55" t="s">
        <v>140</v>
      </c>
      <c r="G1123" s="71"/>
      <c r="H1123" s="52"/>
      <c r="I1123" s="52"/>
      <c r="J1123" s="71"/>
      <c r="K1123" s="164">
        <f t="shared" si="200"/>
        <v>0</v>
      </c>
      <c r="L1123" s="189"/>
      <c r="M1123" s="59"/>
      <c r="N1123" s="65">
        <f t="shared" si="201"/>
        <v>0</v>
      </c>
      <c r="O1123" s="65">
        <f t="shared" si="199"/>
        <v>0</v>
      </c>
      <c r="P1123" s="374">
        <f t="shared" si="202"/>
        <v>0</v>
      </c>
      <c r="Q1123" s="375">
        <f t="shared" si="203"/>
        <v>0</v>
      </c>
    </row>
    <row r="1124" spans="1:17" ht="12.75" hidden="1">
      <c r="A1124" s="288" t="s">
        <v>319</v>
      </c>
      <c r="B1124" s="48" t="s">
        <v>134</v>
      </c>
      <c r="C1124" s="53" t="s">
        <v>128</v>
      </c>
      <c r="D1124" s="53" t="s">
        <v>184</v>
      </c>
      <c r="E1124" s="53" t="s">
        <v>41</v>
      </c>
      <c r="F1124" s="55" t="s">
        <v>140</v>
      </c>
      <c r="G1124" s="71"/>
      <c r="H1124" s="52"/>
      <c r="I1124" s="52"/>
      <c r="J1124" s="71"/>
      <c r="K1124" s="164">
        <f t="shared" si="200"/>
        <v>0</v>
      </c>
      <c r="L1124" s="189"/>
      <c r="M1124" s="59"/>
      <c r="N1124" s="65">
        <f t="shared" si="201"/>
        <v>0</v>
      </c>
      <c r="O1124" s="65">
        <f t="shared" si="199"/>
        <v>0</v>
      </c>
      <c r="P1124" s="374">
        <f t="shared" si="202"/>
        <v>0</v>
      </c>
      <c r="Q1124" s="375">
        <f t="shared" si="203"/>
        <v>0</v>
      </c>
    </row>
    <row r="1125" spans="1:17" ht="12.75" hidden="1">
      <c r="A1125" s="288" t="s">
        <v>320</v>
      </c>
      <c r="B1125" s="48" t="s">
        <v>134</v>
      </c>
      <c r="C1125" s="53" t="s">
        <v>128</v>
      </c>
      <c r="D1125" s="53" t="s">
        <v>184</v>
      </c>
      <c r="E1125" s="53" t="s">
        <v>41</v>
      </c>
      <c r="F1125" s="55" t="s">
        <v>140</v>
      </c>
      <c r="G1125" s="71"/>
      <c r="H1125" s="52"/>
      <c r="I1125" s="52"/>
      <c r="J1125" s="71"/>
      <c r="K1125" s="164">
        <f t="shared" si="200"/>
        <v>0</v>
      </c>
      <c r="L1125" s="189"/>
      <c r="M1125" s="59"/>
      <c r="N1125" s="65">
        <f t="shared" si="201"/>
        <v>0</v>
      </c>
      <c r="O1125" s="65">
        <f t="shared" si="199"/>
        <v>0</v>
      </c>
      <c r="P1125" s="374">
        <f t="shared" si="202"/>
        <v>0</v>
      </c>
      <c r="Q1125" s="375">
        <f t="shared" si="203"/>
        <v>0</v>
      </c>
    </row>
    <row r="1126" spans="1:17" ht="12.75" hidden="1">
      <c r="A1126" s="286" t="s">
        <v>158</v>
      </c>
      <c r="B1126" s="48" t="s">
        <v>134</v>
      </c>
      <c r="C1126" s="53" t="s">
        <v>128</v>
      </c>
      <c r="D1126" s="53" t="s">
        <v>184</v>
      </c>
      <c r="E1126" s="53" t="s">
        <v>41</v>
      </c>
      <c r="F1126" s="55" t="s">
        <v>140</v>
      </c>
      <c r="G1126" s="71"/>
      <c r="H1126" s="52"/>
      <c r="I1126" s="52"/>
      <c r="J1126" s="71"/>
      <c r="K1126" s="164">
        <f t="shared" si="200"/>
        <v>0</v>
      </c>
      <c r="L1126" s="189"/>
      <c r="M1126" s="59"/>
      <c r="N1126" s="65">
        <f t="shared" si="201"/>
        <v>0</v>
      </c>
      <c r="O1126" s="65">
        <f t="shared" si="199"/>
        <v>0</v>
      </c>
      <c r="P1126" s="374">
        <f t="shared" si="202"/>
        <v>0</v>
      </c>
      <c r="Q1126" s="375">
        <f t="shared" si="203"/>
        <v>0</v>
      </c>
    </row>
    <row r="1127" spans="1:17" ht="12.75" hidden="1">
      <c r="A1127" s="270" t="s">
        <v>159</v>
      </c>
      <c r="B1127" s="48" t="s">
        <v>134</v>
      </c>
      <c r="C1127" s="53" t="s">
        <v>128</v>
      </c>
      <c r="D1127" s="53" t="s">
        <v>184</v>
      </c>
      <c r="E1127" s="53" t="s">
        <v>41</v>
      </c>
      <c r="F1127" s="55" t="s">
        <v>140</v>
      </c>
      <c r="G1127" s="71">
        <f>G1128+G1129+G1130</f>
        <v>0</v>
      </c>
      <c r="H1127" s="52">
        <f>H1128+H1129+H1130</f>
        <v>0</v>
      </c>
      <c r="I1127" s="52">
        <f>I1128+I1129+I1130</f>
        <v>0</v>
      </c>
      <c r="J1127" s="71">
        <f>J1128+J1129+J1130</f>
        <v>0</v>
      </c>
      <c r="K1127" s="164">
        <f t="shared" si="200"/>
        <v>0</v>
      </c>
      <c r="L1127" s="189"/>
      <c r="M1127" s="59"/>
      <c r="N1127" s="65">
        <f t="shared" si="201"/>
        <v>0</v>
      </c>
      <c r="O1127" s="65">
        <f t="shared" si="199"/>
        <v>0</v>
      </c>
      <c r="P1127" s="374">
        <f t="shared" si="202"/>
        <v>0</v>
      </c>
      <c r="Q1127" s="375">
        <f t="shared" si="203"/>
        <v>0</v>
      </c>
    </row>
    <row r="1128" spans="1:17" ht="12.75" hidden="1">
      <c r="A1128" s="286" t="s">
        <v>160</v>
      </c>
      <c r="B1128" s="48" t="s">
        <v>134</v>
      </c>
      <c r="C1128" s="53" t="s">
        <v>128</v>
      </c>
      <c r="D1128" s="53" t="s">
        <v>184</v>
      </c>
      <c r="E1128" s="53" t="s">
        <v>41</v>
      </c>
      <c r="F1128" s="55" t="s">
        <v>140</v>
      </c>
      <c r="G1128" s="71"/>
      <c r="H1128" s="52"/>
      <c r="I1128" s="52"/>
      <c r="J1128" s="71"/>
      <c r="K1128" s="164">
        <f t="shared" si="200"/>
        <v>0</v>
      </c>
      <c r="L1128" s="189"/>
      <c r="M1128" s="59"/>
      <c r="N1128" s="65">
        <f t="shared" si="201"/>
        <v>0</v>
      </c>
      <c r="O1128" s="65">
        <f t="shared" si="199"/>
        <v>0</v>
      </c>
      <c r="P1128" s="374">
        <f t="shared" si="202"/>
        <v>0</v>
      </c>
      <c r="Q1128" s="375">
        <f t="shared" si="203"/>
        <v>0</v>
      </c>
    </row>
    <row r="1129" spans="1:17" ht="11.25" customHeight="1" hidden="1">
      <c r="A1129" s="288" t="s">
        <v>40</v>
      </c>
      <c r="B1129" s="48" t="s">
        <v>134</v>
      </c>
      <c r="C1129" s="53" t="s">
        <v>128</v>
      </c>
      <c r="D1129" s="53" t="s">
        <v>184</v>
      </c>
      <c r="E1129" s="53" t="s">
        <v>41</v>
      </c>
      <c r="F1129" s="55" t="s">
        <v>140</v>
      </c>
      <c r="G1129" s="71"/>
      <c r="H1129" s="52"/>
      <c r="I1129" s="52"/>
      <c r="J1129" s="71"/>
      <c r="K1129" s="164">
        <f t="shared" si="200"/>
        <v>0</v>
      </c>
      <c r="L1129" s="189"/>
      <c r="M1129" s="59"/>
      <c r="N1129" s="65">
        <f t="shared" si="201"/>
        <v>0</v>
      </c>
      <c r="O1129" s="65">
        <f t="shared" si="199"/>
        <v>0</v>
      </c>
      <c r="P1129" s="374">
        <f t="shared" si="202"/>
        <v>0</v>
      </c>
      <c r="Q1129" s="375">
        <f t="shared" si="203"/>
        <v>0</v>
      </c>
    </row>
    <row r="1130" spans="1:17" ht="12.75" hidden="1">
      <c r="A1130" s="289" t="s">
        <v>161</v>
      </c>
      <c r="B1130" s="66" t="s">
        <v>134</v>
      </c>
      <c r="C1130" s="67" t="s">
        <v>128</v>
      </c>
      <c r="D1130" s="67" t="s">
        <v>184</v>
      </c>
      <c r="E1130" s="67" t="s">
        <v>41</v>
      </c>
      <c r="F1130" s="69" t="s">
        <v>140</v>
      </c>
      <c r="G1130" s="134"/>
      <c r="H1130" s="52"/>
      <c r="I1130" s="52"/>
      <c r="J1130" s="134"/>
      <c r="K1130" s="164">
        <f t="shared" si="200"/>
        <v>0</v>
      </c>
      <c r="L1130" s="189"/>
      <c r="M1130" s="59"/>
      <c r="N1130" s="65">
        <f t="shared" si="201"/>
        <v>0</v>
      </c>
      <c r="O1130" s="65">
        <f t="shared" si="199"/>
        <v>0</v>
      </c>
      <c r="P1130" s="374">
        <f t="shared" si="202"/>
        <v>0</v>
      </c>
      <c r="Q1130" s="375">
        <f t="shared" si="203"/>
        <v>0</v>
      </c>
    </row>
    <row r="1131" spans="1:17" ht="12.75" hidden="1">
      <c r="A1131" s="277" t="s">
        <v>79</v>
      </c>
      <c r="B1131" s="99" t="s">
        <v>134</v>
      </c>
      <c r="C1131" s="53" t="s">
        <v>128</v>
      </c>
      <c r="D1131" s="53" t="s">
        <v>184</v>
      </c>
      <c r="E1131" s="53" t="s">
        <v>41</v>
      </c>
      <c r="F1131" s="55" t="s">
        <v>76</v>
      </c>
      <c r="G1131" s="65" t="e">
        <f>#REF!+#REF!</f>
        <v>#REF!</v>
      </c>
      <c r="H1131" s="59" t="e">
        <f>#REF!+#REF!</f>
        <v>#REF!</v>
      </c>
      <c r="I1131" s="59" t="e">
        <f>#REF!+#REF!</f>
        <v>#REF!</v>
      </c>
      <c r="J1131" s="65">
        <v>77.7</v>
      </c>
      <c r="K1131" s="164" t="e">
        <f t="shared" si="200"/>
        <v>#REF!</v>
      </c>
      <c r="L1131" s="189"/>
      <c r="M1131" s="59"/>
      <c r="N1131" s="65" t="e">
        <f t="shared" si="201"/>
        <v>#REF!</v>
      </c>
      <c r="O1131" s="65" t="e">
        <f t="shared" si="199"/>
        <v>#REF!</v>
      </c>
      <c r="P1131" s="374" t="e">
        <f t="shared" si="202"/>
        <v>#REF!</v>
      </c>
      <c r="Q1131" s="375" t="e">
        <f t="shared" si="203"/>
        <v>#REF!</v>
      </c>
    </row>
    <row r="1132" spans="1:17" ht="16.5" customHeight="1">
      <c r="A1132" s="277" t="s">
        <v>80</v>
      </c>
      <c r="B1132" s="48" t="s">
        <v>134</v>
      </c>
      <c r="C1132" s="53" t="s">
        <v>128</v>
      </c>
      <c r="D1132" s="53" t="s">
        <v>184</v>
      </c>
      <c r="E1132" s="53" t="s">
        <v>541</v>
      </c>
      <c r="F1132" s="55" t="s">
        <v>77</v>
      </c>
      <c r="G1132" s="65">
        <v>98.4</v>
      </c>
      <c r="H1132" s="59" t="e">
        <f>#REF!+#REF!+H1144+H1145+H1146</f>
        <v>#REF!</v>
      </c>
      <c r="I1132" s="59" t="e">
        <f>#REF!+#REF!+I1144+I1145+I1146</f>
        <v>#REF!</v>
      </c>
      <c r="J1132" s="65">
        <v>6.7</v>
      </c>
      <c r="K1132" s="164">
        <v>105.1</v>
      </c>
      <c r="L1132" s="189"/>
      <c r="M1132" s="59"/>
      <c r="N1132" s="65">
        <v>0</v>
      </c>
      <c r="O1132" s="65">
        <f t="shared" si="199"/>
        <v>0</v>
      </c>
      <c r="P1132" s="374">
        <f t="shared" si="202"/>
        <v>0</v>
      </c>
      <c r="Q1132" s="375">
        <f t="shared" si="203"/>
        <v>0</v>
      </c>
    </row>
    <row r="1133" spans="1:17" ht="0.75" customHeight="1" thickBot="1">
      <c r="A1133" s="286"/>
      <c r="B1133" s="48"/>
      <c r="C1133" s="53"/>
      <c r="D1133" s="53"/>
      <c r="E1133" s="53"/>
      <c r="F1133" s="55" t="s">
        <v>169</v>
      </c>
      <c r="G1133" s="65"/>
      <c r="H1133" s="59"/>
      <c r="I1133" s="59"/>
      <c r="J1133" s="65"/>
      <c r="K1133" s="164"/>
      <c r="L1133" s="189"/>
      <c r="M1133" s="59"/>
      <c r="N1133" s="65"/>
      <c r="O1133" s="65"/>
      <c r="P1133" s="374"/>
      <c r="Q1133" s="375"/>
    </row>
    <row r="1134" spans="1:17" ht="16.5" customHeight="1" thickBot="1">
      <c r="A1134" s="273" t="s">
        <v>402</v>
      </c>
      <c r="B1134" s="21" t="s">
        <v>133</v>
      </c>
      <c r="C1134" s="22" t="s">
        <v>128</v>
      </c>
      <c r="D1134" s="22" t="s">
        <v>184</v>
      </c>
      <c r="E1134" s="22" t="s">
        <v>219</v>
      </c>
      <c r="F1134" s="24"/>
      <c r="G1134" s="132" t="e">
        <f>G1136+G1144+G1146+#REF!+#REF!</f>
        <v>#REF!</v>
      </c>
      <c r="H1134" s="132" t="e">
        <f>H1136+H1144+H1146+#REF!+#REF!</f>
        <v>#REF!</v>
      </c>
      <c r="I1134" s="132" t="e">
        <f>I1136+I1144+I1146+#REF!+#REF!</f>
        <v>#REF!</v>
      </c>
      <c r="J1134" s="132" t="e">
        <f>J1136+J1144+J1146+#REF!+#REF!</f>
        <v>#REF!</v>
      </c>
      <c r="K1134" s="175" t="e">
        <f>K1136+K1144+K1146+#REF!+#REF!</f>
        <v>#REF!</v>
      </c>
      <c r="L1134" s="175" t="e">
        <f>L1136+L1144+L1146+#REF!+#REF!</f>
        <v>#REF!</v>
      </c>
      <c r="M1134" s="175" t="e">
        <f>M1136+M1144+M1146+#REF!+#REF!</f>
        <v>#REF!</v>
      </c>
      <c r="N1134" s="175">
        <f>N1135+N1141+N1146</f>
        <v>0</v>
      </c>
      <c r="O1134" s="132">
        <f>O1135+O1141+O1146</f>
        <v>1975</v>
      </c>
      <c r="P1134" s="378">
        <f>P1135+P1141+P1146</f>
        <v>2015</v>
      </c>
      <c r="Q1134" s="379">
        <f>Q1135+Q1141+Q1146</f>
        <v>2035</v>
      </c>
    </row>
    <row r="1135" spans="1:17" ht="16.5" customHeight="1">
      <c r="A1135" s="269" t="s">
        <v>474</v>
      </c>
      <c r="B1135" s="26" t="s">
        <v>133</v>
      </c>
      <c r="C1135" s="27" t="s">
        <v>128</v>
      </c>
      <c r="D1135" s="27" t="s">
        <v>184</v>
      </c>
      <c r="E1135" s="27" t="s">
        <v>475</v>
      </c>
      <c r="F1135" s="28"/>
      <c r="G1135" s="155"/>
      <c r="H1135" s="155"/>
      <c r="I1135" s="155"/>
      <c r="J1135" s="155"/>
      <c r="K1135" s="167"/>
      <c r="L1135" s="167"/>
      <c r="M1135" s="167"/>
      <c r="N1135" s="167"/>
      <c r="O1135" s="155">
        <f>O1136+O1138</f>
        <v>1405</v>
      </c>
      <c r="P1135" s="396">
        <f>P1136+P1138</f>
        <v>1405</v>
      </c>
      <c r="Q1135" s="397">
        <f>Q1136+Q1138</f>
        <v>1405</v>
      </c>
    </row>
    <row r="1136" spans="1:17" ht="38.25">
      <c r="A1136" s="275" t="s">
        <v>476</v>
      </c>
      <c r="B1136" s="48" t="s">
        <v>265</v>
      </c>
      <c r="C1136" s="49" t="s">
        <v>128</v>
      </c>
      <c r="D1136" s="49" t="s">
        <v>184</v>
      </c>
      <c r="E1136" s="49" t="s">
        <v>477</v>
      </c>
      <c r="F1136" s="51"/>
      <c r="G1136" s="71">
        <f aca="true" t="shared" si="204" ref="G1136:Q1136">G1137</f>
        <v>45</v>
      </c>
      <c r="H1136" s="71">
        <f t="shared" si="204"/>
        <v>0</v>
      </c>
      <c r="I1136" s="71">
        <f t="shared" si="204"/>
        <v>0</v>
      </c>
      <c r="J1136" s="71">
        <f t="shared" si="204"/>
        <v>0</v>
      </c>
      <c r="K1136" s="173">
        <f t="shared" si="204"/>
        <v>45</v>
      </c>
      <c r="L1136" s="173">
        <f t="shared" si="204"/>
        <v>0</v>
      </c>
      <c r="M1136" s="173">
        <f t="shared" si="204"/>
        <v>0</v>
      </c>
      <c r="N1136" s="173">
        <f t="shared" si="204"/>
        <v>0</v>
      </c>
      <c r="O1136" s="71">
        <f t="shared" si="204"/>
        <v>181</v>
      </c>
      <c r="P1136" s="370">
        <f t="shared" si="204"/>
        <v>181</v>
      </c>
      <c r="Q1136" s="371">
        <f t="shared" si="204"/>
        <v>181</v>
      </c>
    </row>
    <row r="1137" spans="1:17" ht="16.5" customHeight="1">
      <c r="A1137" s="271" t="s">
        <v>90</v>
      </c>
      <c r="B1137" s="99" t="s">
        <v>265</v>
      </c>
      <c r="C1137" s="53" t="s">
        <v>128</v>
      </c>
      <c r="D1137" s="53" t="s">
        <v>184</v>
      </c>
      <c r="E1137" s="53" t="s">
        <v>477</v>
      </c>
      <c r="F1137" s="55" t="s">
        <v>83</v>
      </c>
      <c r="G1137" s="65">
        <v>45</v>
      </c>
      <c r="H1137" s="59"/>
      <c r="I1137" s="59"/>
      <c r="J1137" s="65"/>
      <c r="K1137" s="164">
        <f>G1137+J1137</f>
        <v>45</v>
      </c>
      <c r="L1137" s="189"/>
      <c r="M1137" s="59"/>
      <c r="N1137" s="65"/>
      <c r="O1137" s="65">
        <v>181</v>
      </c>
      <c r="P1137" s="374">
        <v>181</v>
      </c>
      <c r="Q1137" s="375">
        <v>181</v>
      </c>
    </row>
    <row r="1138" spans="1:17" ht="38.25">
      <c r="A1138" s="270" t="s">
        <v>478</v>
      </c>
      <c r="B1138" s="48" t="s">
        <v>133</v>
      </c>
      <c r="C1138" s="49" t="s">
        <v>128</v>
      </c>
      <c r="D1138" s="49" t="s">
        <v>184</v>
      </c>
      <c r="E1138" s="49" t="s">
        <v>479</v>
      </c>
      <c r="F1138" s="51"/>
      <c r="G1138" s="71"/>
      <c r="H1138" s="71"/>
      <c r="I1138" s="71"/>
      <c r="J1138" s="71"/>
      <c r="K1138" s="173"/>
      <c r="L1138" s="173"/>
      <c r="M1138" s="173"/>
      <c r="N1138" s="173"/>
      <c r="O1138" s="71">
        <f>O1139+O1140</f>
        <v>1224</v>
      </c>
      <c r="P1138" s="370">
        <f>P1139+P1140</f>
        <v>1224</v>
      </c>
      <c r="Q1138" s="371">
        <f>Q1139+Q1140</f>
        <v>1224</v>
      </c>
    </row>
    <row r="1139" spans="1:17" ht="16.5" customHeight="1">
      <c r="A1139" s="276" t="s">
        <v>93</v>
      </c>
      <c r="B1139" s="99" t="s">
        <v>226</v>
      </c>
      <c r="C1139" s="53" t="s">
        <v>128</v>
      </c>
      <c r="D1139" s="53" t="s">
        <v>184</v>
      </c>
      <c r="E1139" s="53" t="s">
        <v>479</v>
      </c>
      <c r="F1139" s="55" t="s">
        <v>169</v>
      </c>
      <c r="G1139" s="65"/>
      <c r="H1139" s="65"/>
      <c r="I1139" s="65"/>
      <c r="J1139" s="65"/>
      <c r="K1139" s="164"/>
      <c r="L1139" s="164"/>
      <c r="M1139" s="164"/>
      <c r="N1139" s="164"/>
      <c r="O1139" s="65">
        <v>1044</v>
      </c>
      <c r="P1139" s="374">
        <v>1044</v>
      </c>
      <c r="Q1139" s="375">
        <v>1044</v>
      </c>
    </row>
    <row r="1140" spans="1:17" ht="16.5" customHeight="1">
      <c r="A1140" s="276" t="s">
        <v>93</v>
      </c>
      <c r="B1140" s="99" t="s">
        <v>265</v>
      </c>
      <c r="C1140" s="53" t="s">
        <v>128</v>
      </c>
      <c r="D1140" s="53" t="s">
        <v>184</v>
      </c>
      <c r="E1140" s="53" t="s">
        <v>479</v>
      </c>
      <c r="F1140" s="55" t="s">
        <v>169</v>
      </c>
      <c r="G1140" s="65"/>
      <c r="H1140" s="65"/>
      <c r="I1140" s="65"/>
      <c r="J1140" s="65"/>
      <c r="K1140" s="164"/>
      <c r="L1140" s="164"/>
      <c r="M1140" s="164"/>
      <c r="N1140" s="164"/>
      <c r="O1140" s="65">
        <v>180</v>
      </c>
      <c r="P1140" s="374">
        <v>180</v>
      </c>
      <c r="Q1140" s="375">
        <v>180</v>
      </c>
    </row>
    <row r="1141" spans="1:17" ht="16.5" customHeight="1">
      <c r="A1141" s="316" t="s">
        <v>480</v>
      </c>
      <c r="B1141" s="48" t="s">
        <v>134</v>
      </c>
      <c r="C1141" s="49" t="s">
        <v>128</v>
      </c>
      <c r="D1141" s="49" t="s">
        <v>184</v>
      </c>
      <c r="E1141" s="49" t="s">
        <v>481</v>
      </c>
      <c r="F1141" s="51"/>
      <c r="G1141" s="71"/>
      <c r="H1141" s="71"/>
      <c r="I1141" s="71"/>
      <c r="J1141" s="71"/>
      <c r="K1141" s="173"/>
      <c r="L1141" s="173"/>
      <c r="M1141" s="173"/>
      <c r="N1141" s="173"/>
      <c r="O1141" s="71">
        <f>O1142+O1144</f>
        <v>210</v>
      </c>
      <c r="P1141" s="370">
        <f>P1142+P1144</f>
        <v>210</v>
      </c>
      <c r="Q1141" s="371">
        <f>Q1142+Q1144</f>
        <v>210</v>
      </c>
    </row>
    <row r="1142" spans="1:17" ht="16.5" customHeight="1">
      <c r="A1142" s="286" t="s">
        <v>616</v>
      </c>
      <c r="B1142" s="48" t="s">
        <v>134</v>
      </c>
      <c r="C1142" s="49" t="s">
        <v>128</v>
      </c>
      <c r="D1142" s="49" t="s">
        <v>184</v>
      </c>
      <c r="E1142" s="49" t="s">
        <v>482</v>
      </c>
      <c r="F1142" s="51"/>
      <c r="G1142" s="71"/>
      <c r="H1142" s="71"/>
      <c r="I1142" s="71"/>
      <c r="J1142" s="71"/>
      <c r="K1142" s="173"/>
      <c r="L1142" s="173"/>
      <c r="M1142" s="173"/>
      <c r="N1142" s="173"/>
      <c r="O1142" s="71">
        <f>O1143</f>
        <v>110</v>
      </c>
      <c r="P1142" s="370">
        <f>P1143</f>
        <v>110</v>
      </c>
      <c r="Q1142" s="371">
        <f>Q1143</f>
        <v>110</v>
      </c>
    </row>
    <row r="1143" spans="1:17" ht="16.5" customHeight="1">
      <c r="A1143" s="277" t="s">
        <v>80</v>
      </c>
      <c r="B1143" s="99" t="s">
        <v>134</v>
      </c>
      <c r="C1143" s="53" t="s">
        <v>128</v>
      </c>
      <c r="D1143" s="53" t="s">
        <v>184</v>
      </c>
      <c r="E1143" s="53" t="s">
        <v>482</v>
      </c>
      <c r="F1143" s="55" t="s">
        <v>77</v>
      </c>
      <c r="G1143" s="65"/>
      <c r="H1143" s="65"/>
      <c r="I1143" s="65"/>
      <c r="J1143" s="65"/>
      <c r="K1143" s="164"/>
      <c r="L1143" s="164"/>
      <c r="M1143" s="164"/>
      <c r="N1143" s="164"/>
      <c r="O1143" s="65">
        <v>110</v>
      </c>
      <c r="P1143" s="374">
        <v>110</v>
      </c>
      <c r="Q1143" s="375">
        <v>110</v>
      </c>
    </row>
    <row r="1144" spans="1:17" ht="16.5" customHeight="1">
      <c r="A1144" s="319" t="s">
        <v>483</v>
      </c>
      <c r="B1144" s="48" t="s">
        <v>134</v>
      </c>
      <c r="C1144" s="49" t="s">
        <v>128</v>
      </c>
      <c r="D1144" s="49" t="s">
        <v>184</v>
      </c>
      <c r="E1144" s="49" t="s">
        <v>484</v>
      </c>
      <c r="F1144" s="51"/>
      <c r="G1144" s="71">
        <f aca="true" t="shared" si="205" ref="G1144:Q1144">G1145</f>
        <v>30</v>
      </c>
      <c r="H1144" s="71" t="e">
        <f t="shared" si="205"/>
        <v>#REF!</v>
      </c>
      <c r="I1144" s="71" t="e">
        <f t="shared" si="205"/>
        <v>#REF!</v>
      </c>
      <c r="J1144" s="71">
        <f t="shared" si="205"/>
        <v>0</v>
      </c>
      <c r="K1144" s="173">
        <f t="shared" si="205"/>
        <v>30</v>
      </c>
      <c r="L1144" s="173">
        <f t="shared" si="205"/>
        <v>0</v>
      </c>
      <c r="M1144" s="173">
        <f t="shared" si="205"/>
        <v>0</v>
      </c>
      <c r="N1144" s="173">
        <f t="shared" si="205"/>
        <v>0</v>
      </c>
      <c r="O1144" s="71">
        <f t="shared" si="205"/>
        <v>100</v>
      </c>
      <c r="P1144" s="370">
        <f t="shared" si="205"/>
        <v>100</v>
      </c>
      <c r="Q1144" s="371">
        <f t="shared" si="205"/>
        <v>100</v>
      </c>
    </row>
    <row r="1145" spans="1:17" ht="16.5" customHeight="1">
      <c r="A1145" s="277" t="s">
        <v>80</v>
      </c>
      <c r="B1145" s="99" t="s">
        <v>134</v>
      </c>
      <c r="C1145" s="49" t="s">
        <v>128</v>
      </c>
      <c r="D1145" s="49" t="s">
        <v>184</v>
      </c>
      <c r="E1145" s="53" t="s">
        <v>484</v>
      </c>
      <c r="F1145" s="55" t="s">
        <v>77</v>
      </c>
      <c r="G1145" s="65">
        <v>30</v>
      </c>
      <c r="H1145" s="59" t="e">
        <f>#REF!+30</f>
        <v>#REF!</v>
      </c>
      <c r="I1145" s="59" t="e">
        <f>#REF!</f>
        <v>#REF!</v>
      </c>
      <c r="J1145" s="65"/>
      <c r="K1145" s="164">
        <f>G1145+J1145</f>
        <v>30</v>
      </c>
      <c r="L1145" s="189"/>
      <c r="M1145" s="59"/>
      <c r="N1145" s="65"/>
      <c r="O1145" s="65">
        <v>100</v>
      </c>
      <c r="P1145" s="374">
        <v>100</v>
      </c>
      <c r="Q1145" s="375">
        <v>100</v>
      </c>
    </row>
    <row r="1146" spans="1:17" ht="25.5">
      <c r="A1146" s="281" t="s">
        <v>617</v>
      </c>
      <c r="B1146" s="48" t="s">
        <v>133</v>
      </c>
      <c r="C1146" s="49" t="s">
        <v>128</v>
      </c>
      <c r="D1146" s="49" t="s">
        <v>184</v>
      </c>
      <c r="E1146" s="49" t="s">
        <v>485</v>
      </c>
      <c r="F1146" s="51"/>
      <c r="G1146" s="71">
        <f aca="true" t="shared" si="206" ref="G1146:N1146">G1148+G1149</f>
        <v>111.5</v>
      </c>
      <c r="H1146" s="71">
        <f t="shared" si="206"/>
        <v>0</v>
      </c>
      <c r="I1146" s="71">
        <f t="shared" si="206"/>
        <v>0</v>
      </c>
      <c r="J1146" s="71">
        <f t="shared" si="206"/>
        <v>0</v>
      </c>
      <c r="K1146" s="173">
        <f t="shared" si="206"/>
        <v>111.5</v>
      </c>
      <c r="L1146" s="173">
        <f t="shared" si="206"/>
        <v>0</v>
      </c>
      <c r="M1146" s="173">
        <f t="shared" si="206"/>
        <v>0</v>
      </c>
      <c r="N1146" s="173">
        <f t="shared" si="206"/>
        <v>0</v>
      </c>
      <c r="O1146" s="71">
        <f>O1147+O1148+O1149</f>
        <v>360</v>
      </c>
      <c r="P1146" s="370">
        <f>P1147+P1148+P1149</f>
        <v>400</v>
      </c>
      <c r="Q1146" s="371">
        <f>Q1147+Q1148+Q1149</f>
        <v>420</v>
      </c>
    </row>
    <row r="1147" spans="1:17" ht="16.5" customHeight="1">
      <c r="A1147" s="277" t="s">
        <v>80</v>
      </c>
      <c r="B1147" s="99" t="s">
        <v>134</v>
      </c>
      <c r="C1147" s="53" t="s">
        <v>128</v>
      </c>
      <c r="D1147" s="53" t="s">
        <v>184</v>
      </c>
      <c r="E1147" s="53" t="s">
        <v>485</v>
      </c>
      <c r="F1147" s="55" t="s">
        <v>77</v>
      </c>
      <c r="G1147" s="65"/>
      <c r="H1147" s="65"/>
      <c r="I1147" s="65"/>
      <c r="J1147" s="65"/>
      <c r="K1147" s="164"/>
      <c r="L1147" s="164"/>
      <c r="M1147" s="164"/>
      <c r="N1147" s="164"/>
      <c r="O1147" s="65">
        <v>74</v>
      </c>
      <c r="P1147" s="374">
        <v>114</v>
      </c>
      <c r="Q1147" s="375">
        <v>121</v>
      </c>
    </row>
    <row r="1148" spans="1:17" ht="16.5" customHeight="1">
      <c r="A1148" s="277" t="s">
        <v>90</v>
      </c>
      <c r="B1148" s="99" t="s">
        <v>226</v>
      </c>
      <c r="C1148" s="53" t="s">
        <v>128</v>
      </c>
      <c r="D1148" s="53" t="s">
        <v>184</v>
      </c>
      <c r="E1148" s="53" t="s">
        <v>485</v>
      </c>
      <c r="F1148" s="55" t="s">
        <v>83</v>
      </c>
      <c r="G1148" s="65">
        <v>100</v>
      </c>
      <c r="H1148" s="59">
        <v>0</v>
      </c>
      <c r="I1148" s="59">
        <v>0</v>
      </c>
      <c r="J1148" s="65"/>
      <c r="K1148" s="164">
        <f>G1148+J1148</f>
        <v>100</v>
      </c>
      <c r="L1148" s="189"/>
      <c r="M1148" s="59"/>
      <c r="N1148" s="65"/>
      <c r="O1148" s="65">
        <v>243</v>
      </c>
      <c r="P1148" s="374">
        <v>243</v>
      </c>
      <c r="Q1148" s="375">
        <v>256</v>
      </c>
    </row>
    <row r="1149" spans="1:17" ht="16.5" customHeight="1" thickBot="1">
      <c r="A1149" s="271" t="s">
        <v>90</v>
      </c>
      <c r="B1149" s="99" t="s">
        <v>265</v>
      </c>
      <c r="C1149" s="53" t="s">
        <v>128</v>
      </c>
      <c r="D1149" s="53" t="s">
        <v>184</v>
      </c>
      <c r="E1149" s="53" t="s">
        <v>485</v>
      </c>
      <c r="F1149" s="55" t="s">
        <v>83</v>
      </c>
      <c r="G1149" s="65">
        <f>G1151+G1152</f>
        <v>11.5</v>
      </c>
      <c r="H1149" s="59">
        <f>H1151+H1152</f>
        <v>0</v>
      </c>
      <c r="I1149" s="59">
        <f>I1151+I1152</f>
        <v>0</v>
      </c>
      <c r="J1149" s="65"/>
      <c r="K1149" s="164">
        <f>G1149+J1149</f>
        <v>11.5</v>
      </c>
      <c r="L1149" s="189"/>
      <c r="M1149" s="59"/>
      <c r="N1149" s="65"/>
      <c r="O1149" s="65">
        <v>43</v>
      </c>
      <c r="P1149" s="374">
        <v>43</v>
      </c>
      <c r="Q1149" s="375">
        <v>43</v>
      </c>
    </row>
    <row r="1150" spans="1:17" ht="12.75" hidden="1">
      <c r="A1150" s="320" t="s">
        <v>45</v>
      </c>
      <c r="B1150" s="48" t="s">
        <v>265</v>
      </c>
      <c r="C1150" s="53" t="s">
        <v>128</v>
      </c>
      <c r="D1150" s="53" t="s">
        <v>184</v>
      </c>
      <c r="E1150" s="53" t="s">
        <v>280</v>
      </c>
      <c r="F1150" s="55" t="s">
        <v>140</v>
      </c>
      <c r="G1150" s="65">
        <v>0</v>
      </c>
      <c r="H1150" s="59">
        <v>0</v>
      </c>
      <c r="I1150" s="59">
        <v>0</v>
      </c>
      <c r="J1150" s="65">
        <v>0</v>
      </c>
      <c r="K1150" s="164">
        <v>0</v>
      </c>
      <c r="L1150" s="189"/>
      <c r="M1150" s="59"/>
      <c r="N1150" s="65"/>
      <c r="O1150" s="65"/>
      <c r="P1150" s="374"/>
      <c r="Q1150" s="375"/>
    </row>
    <row r="1151" spans="1:17" ht="27" customHeight="1" hidden="1">
      <c r="A1151" s="320"/>
      <c r="B1151" s="48"/>
      <c r="C1151" s="53"/>
      <c r="D1151" s="53"/>
      <c r="E1151" s="53"/>
      <c r="F1151" s="55" t="s">
        <v>168</v>
      </c>
      <c r="G1151" s="65">
        <v>10</v>
      </c>
      <c r="H1151" s="59"/>
      <c r="I1151" s="59"/>
      <c r="J1151" s="65">
        <v>10</v>
      </c>
      <c r="K1151" s="164">
        <v>10</v>
      </c>
      <c r="L1151" s="189"/>
      <c r="M1151" s="59"/>
      <c r="N1151" s="65"/>
      <c r="O1151" s="65"/>
      <c r="P1151" s="374"/>
      <c r="Q1151" s="375"/>
    </row>
    <row r="1152" spans="1:17" ht="12.75" hidden="1">
      <c r="A1152" s="320"/>
      <c r="B1152" s="48"/>
      <c r="C1152" s="53"/>
      <c r="D1152" s="53"/>
      <c r="E1152" s="53"/>
      <c r="F1152" s="55" t="s">
        <v>170</v>
      </c>
      <c r="G1152" s="65">
        <v>1.5</v>
      </c>
      <c r="H1152" s="59"/>
      <c r="I1152" s="59"/>
      <c r="J1152" s="65">
        <v>1.5</v>
      </c>
      <c r="K1152" s="164">
        <v>1.5</v>
      </c>
      <c r="L1152" s="189"/>
      <c r="M1152" s="59"/>
      <c r="N1152" s="65"/>
      <c r="O1152" s="65"/>
      <c r="P1152" s="374"/>
      <c r="Q1152" s="375"/>
    </row>
    <row r="1153" spans="1:17" ht="12.75" hidden="1">
      <c r="A1153" s="270" t="s">
        <v>95</v>
      </c>
      <c r="B1153" s="48"/>
      <c r="C1153" s="53" t="s">
        <v>128</v>
      </c>
      <c r="D1153" s="53" t="s">
        <v>184</v>
      </c>
      <c r="E1153" s="53" t="s">
        <v>46</v>
      </c>
      <c r="F1153" s="55" t="s">
        <v>169</v>
      </c>
      <c r="G1153" s="65"/>
      <c r="H1153" s="59"/>
      <c r="I1153" s="59"/>
      <c r="J1153" s="65"/>
      <c r="K1153" s="164"/>
      <c r="L1153" s="189"/>
      <c r="M1153" s="59"/>
      <c r="N1153" s="65"/>
      <c r="O1153" s="65"/>
      <c r="P1153" s="374"/>
      <c r="Q1153" s="375"/>
    </row>
    <row r="1154" spans="1:17" ht="14.25" customHeight="1" hidden="1">
      <c r="A1154" s="270" t="s">
        <v>338</v>
      </c>
      <c r="B1154" s="48" t="s">
        <v>134</v>
      </c>
      <c r="C1154" s="53" t="s">
        <v>128</v>
      </c>
      <c r="D1154" s="53" t="s">
        <v>184</v>
      </c>
      <c r="E1154" s="53" t="s">
        <v>47</v>
      </c>
      <c r="F1154" s="55" t="s">
        <v>140</v>
      </c>
      <c r="G1154" s="65"/>
      <c r="H1154" s="59"/>
      <c r="I1154" s="59"/>
      <c r="J1154" s="65"/>
      <c r="K1154" s="164"/>
      <c r="L1154" s="189"/>
      <c r="M1154" s="59"/>
      <c r="N1154" s="65"/>
      <c r="O1154" s="65"/>
      <c r="P1154" s="374"/>
      <c r="Q1154" s="375"/>
    </row>
    <row r="1155" spans="1:17" ht="14.25" customHeight="1" hidden="1">
      <c r="A1155" s="270"/>
      <c r="B1155" s="48" t="s">
        <v>226</v>
      </c>
      <c r="C1155" s="53" t="s">
        <v>128</v>
      </c>
      <c r="D1155" s="53" t="s">
        <v>184</v>
      </c>
      <c r="E1155" s="53" t="s">
        <v>43</v>
      </c>
      <c r="F1155" s="55" t="s">
        <v>140</v>
      </c>
      <c r="G1155" s="65"/>
      <c r="H1155" s="59"/>
      <c r="I1155" s="59"/>
      <c r="J1155" s="65"/>
      <c r="K1155" s="164"/>
      <c r="L1155" s="189"/>
      <c r="M1155" s="59"/>
      <c r="N1155" s="65"/>
      <c r="O1155" s="65"/>
      <c r="P1155" s="374"/>
      <c r="Q1155" s="375"/>
    </row>
    <row r="1156" spans="1:17" ht="14.25" customHeight="1" hidden="1">
      <c r="A1156" s="270"/>
      <c r="B1156" s="48" t="s">
        <v>265</v>
      </c>
      <c r="C1156" s="53" t="s">
        <v>128</v>
      </c>
      <c r="D1156" s="53" t="s">
        <v>184</v>
      </c>
      <c r="E1156" s="53" t="s">
        <v>44</v>
      </c>
      <c r="F1156" s="55" t="s">
        <v>140</v>
      </c>
      <c r="G1156" s="65"/>
      <c r="H1156" s="59"/>
      <c r="I1156" s="59"/>
      <c r="J1156" s="65"/>
      <c r="K1156" s="164"/>
      <c r="L1156" s="189"/>
      <c r="M1156" s="59"/>
      <c r="N1156" s="65"/>
      <c r="O1156" s="65"/>
      <c r="P1156" s="374"/>
      <c r="Q1156" s="375"/>
    </row>
    <row r="1157" spans="1:17" ht="14.25" customHeight="1" hidden="1">
      <c r="A1157" s="270"/>
      <c r="B1157" s="48" t="s">
        <v>265</v>
      </c>
      <c r="C1157" s="53" t="s">
        <v>128</v>
      </c>
      <c r="D1157" s="53" t="s">
        <v>184</v>
      </c>
      <c r="E1157" s="53" t="s">
        <v>43</v>
      </c>
      <c r="F1157" s="55" t="s">
        <v>140</v>
      </c>
      <c r="G1157" s="65"/>
      <c r="H1157" s="59"/>
      <c r="I1157" s="59"/>
      <c r="J1157" s="65"/>
      <c r="K1157" s="164"/>
      <c r="L1157" s="189"/>
      <c r="M1157" s="59"/>
      <c r="N1157" s="65"/>
      <c r="O1157" s="65"/>
      <c r="P1157" s="374"/>
      <c r="Q1157" s="375"/>
    </row>
    <row r="1158" spans="1:17" ht="14.25" customHeight="1" hidden="1">
      <c r="A1158" s="270" t="s">
        <v>48</v>
      </c>
      <c r="B1158" s="48"/>
      <c r="C1158" s="53" t="s">
        <v>128</v>
      </c>
      <c r="D1158" s="53" t="s">
        <v>184</v>
      </c>
      <c r="E1158" s="53" t="s">
        <v>219</v>
      </c>
      <c r="F1158" s="55" t="s">
        <v>133</v>
      </c>
      <c r="G1158" s="65">
        <f>G1159</f>
        <v>0</v>
      </c>
      <c r="H1158" s="59">
        <f>H1159</f>
        <v>0</v>
      </c>
      <c r="I1158" s="59">
        <f>I1159</f>
        <v>0</v>
      </c>
      <c r="J1158" s="65">
        <f>J1159</f>
        <v>0</v>
      </c>
      <c r="K1158" s="164">
        <f>K1159</f>
        <v>0</v>
      </c>
      <c r="L1158" s="189"/>
      <c r="M1158" s="59"/>
      <c r="N1158" s="65"/>
      <c r="O1158" s="65"/>
      <c r="P1158" s="374"/>
      <c r="Q1158" s="375"/>
    </row>
    <row r="1159" spans="1:17" ht="14.25" customHeight="1" hidden="1">
      <c r="A1159" s="270" t="s">
        <v>139</v>
      </c>
      <c r="B1159" s="48"/>
      <c r="C1159" s="53" t="s">
        <v>128</v>
      </c>
      <c r="D1159" s="53" t="s">
        <v>184</v>
      </c>
      <c r="E1159" s="53" t="s">
        <v>219</v>
      </c>
      <c r="F1159" s="55" t="s">
        <v>140</v>
      </c>
      <c r="G1159" s="65">
        <f>G1160+G1168</f>
        <v>0</v>
      </c>
      <c r="H1159" s="59">
        <f>H1160+H1168</f>
        <v>0</v>
      </c>
      <c r="I1159" s="59">
        <f>I1160+I1168</f>
        <v>0</v>
      </c>
      <c r="J1159" s="65">
        <f>J1160+J1168</f>
        <v>0</v>
      </c>
      <c r="K1159" s="164">
        <f>K1160+K1168</f>
        <v>0</v>
      </c>
      <c r="L1159" s="189"/>
      <c r="M1159" s="59"/>
      <c r="N1159" s="65"/>
      <c r="O1159" s="65"/>
      <c r="P1159" s="374"/>
      <c r="Q1159" s="375"/>
    </row>
    <row r="1160" spans="1:17" ht="14.25" customHeight="1" hidden="1">
      <c r="A1160" s="270" t="s">
        <v>141</v>
      </c>
      <c r="B1160" s="48"/>
      <c r="C1160" s="53" t="s">
        <v>128</v>
      </c>
      <c r="D1160" s="53" t="s">
        <v>184</v>
      </c>
      <c r="E1160" s="53" t="s">
        <v>42</v>
      </c>
      <c r="F1160" s="55" t="s">
        <v>140</v>
      </c>
      <c r="G1160" s="65">
        <f>G1161+G1166</f>
        <v>0</v>
      </c>
      <c r="H1160" s="59">
        <f>H1161+H1166</f>
        <v>0</v>
      </c>
      <c r="I1160" s="59">
        <f>I1161+I1166</f>
        <v>0</v>
      </c>
      <c r="J1160" s="65">
        <f>J1161+J1166</f>
        <v>0</v>
      </c>
      <c r="K1160" s="164">
        <f>K1161+K1166</f>
        <v>0</v>
      </c>
      <c r="L1160" s="189"/>
      <c r="M1160" s="59"/>
      <c r="N1160" s="65"/>
      <c r="O1160" s="65"/>
      <c r="P1160" s="374"/>
      <c r="Q1160" s="375"/>
    </row>
    <row r="1161" spans="1:17" ht="14.25" customHeight="1" hidden="1">
      <c r="A1161" s="286" t="s">
        <v>234</v>
      </c>
      <c r="B1161" s="48"/>
      <c r="C1161" s="53" t="s">
        <v>128</v>
      </c>
      <c r="D1161" s="53" t="s">
        <v>184</v>
      </c>
      <c r="E1161" s="53" t="s">
        <v>42</v>
      </c>
      <c r="F1161" s="55" t="s">
        <v>140</v>
      </c>
      <c r="G1161" s="65">
        <f>SUM(G1162:G1167)-G1166</f>
        <v>0</v>
      </c>
      <c r="H1161" s="59">
        <f>SUM(H1162:H1167)-H1166</f>
        <v>0</v>
      </c>
      <c r="I1161" s="59">
        <f>SUM(I1162:I1167)-I1166</f>
        <v>0</v>
      </c>
      <c r="J1161" s="65">
        <f>SUM(J1162:J1167)-J1166</f>
        <v>0</v>
      </c>
      <c r="K1161" s="164">
        <f>SUM(K1162:K1167)-K1166</f>
        <v>0</v>
      </c>
      <c r="L1161" s="189"/>
      <c r="M1161" s="59"/>
      <c r="N1161" s="65"/>
      <c r="O1161" s="65"/>
      <c r="P1161" s="374"/>
      <c r="Q1161" s="375"/>
    </row>
    <row r="1162" spans="1:17" ht="14.25" customHeight="1" hidden="1">
      <c r="A1162" s="270" t="s">
        <v>49</v>
      </c>
      <c r="B1162" s="48" t="s">
        <v>134</v>
      </c>
      <c r="C1162" s="53" t="s">
        <v>128</v>
      </c>
      <c r="D1162" s="53" t="s">
        <v>184</v>
      </c>
      <c r="E1162" s="53" t="s">
        <v>42</v>
      </c>
      <c r="F1162" s="55" t="s">
        <v>140</v>
      </c>
      <c r="G1162" s="65"/>
      <c r="H1162" s="59"/>
      <c r="I1162" s="59"/>
      <c r="J1162" s="65"/>
      <c r="K1162" s="164"/>
      <c r="L1162" s="189"/>
      <c r="M1162" s="59"/>
      <c r="N1162" s="65"/>
      <c r="O1162" s="65"/>
      <c r="P1162" s="374"/>
      <c r="Q1162" s="375"/>
    </row>
    <row r="1163" spans="1:17" ht="14.25" customHeight="1" hidden="1">
      <c r="A1163" s="270" t="s">
        <v>50</v>
      </c>
      <c r="B1163" s="48" t="s">
        <v>134</v>
      </c>
      <c r="C1163" s="53" t="s">
        <v>128</v>
      </c>
      <c r="D1163" s="53" t="s">
        <v>184</v>
      </c>
      <c r="E1163" s="53" t="s">
        <v>42</v>
      </c>
      <c r="F1163" s="55" t="s">
        <v>140</v>
      </c>
      <c r="G1163" s="65"/>
      <c r="H1163" s="59"/>
      <c r="I1163" s="59"/>
      <c r="J1163" s="65"/>
      <c r="K1163" s="164"/>
      <c r="L1163" s="189"/>
      <c r="M1163" s="59"/>
      <c r="N1163" s="65"/>
      <c r="O1163" s="65"/>
      <c r="P1163" s="374"/>
      <c r="Q1163" s="375"/>
    </row>
    <row r="1164" spans="1:17" ht="14.25" customHeight="1" hidden="1">
      <c r="A1164" s="270"/>
      <c r="B1164" s="48"/>
      <c r="C1164" s="53"/>
      <c r="D1164" s="53"/>
      <c r="E1164" s="53" t="s">
        <v>42</v>
      </c>
      <c r="F1164" s="55"/>
      <c r="G1164" s="65"/>
      <c r="H1164" s="59"/>
      <c r="I1164" s="59"/>
      <c r="J1164" s="65"/>
      <c r="K1164" s="164"/>
      <c r="L1164" s="189"/>
      <c r="M1164" s="59"/>
      <c r="N1164" s="65"/>
      <c r="O1164" s="65"/>
      <c r="P1164" s="374"/>
      <c r="Q1164" s="375"/>
    </row>
    <row r="1165" spans="1:17" ht="14.25" customHeight="1" hidden="1">
      <c r="A1165" s="270" t="s">
        <v>49</v>
      </c>
      <c r="B1165" s="48" t="s">
        <v>265</v>
      </c>
      <c r="C1165" s="53" t="s">
        <v>128</v>
      </c>
      <c r="D1165" s="53" t="s">
        <v>184</v>
      </c>
      <c r="E1165" s="53" t="s">
        <v>42</v>
      </c>
      <c r="F1165" s="55" t="s">
        <v>140</v>
      </c>
      <c r="G1165" s="65"/>
      <c r="H1165" s="59"/>
      <c r="I1165" s="59"/>
      <c r="J1165" s="65"/>
      <c r="K1165" s="164"/>
      <c r="L1165" s="189"/>
      <c r="M1165" s="59"/>
      <c r="N1165" s="65"/>
      <c r="O1165" s="65"/>
      <c r="P1165" s="374"/>
      <c r="Q1165" s="375"/>
    </row>
    <row r="1166" spans="1:17" ht="14.25" customHeight="1" hidden="1">
      <c r="A1166" s="270" t="s">
        <v>158</v>
      </c>
      <c r="B1166" s="48" t="s">
        <v>265</v>
      </c>
      <c r="C1166" s="53" t="s">
        <v>128</v>
      </c>
      <c r="D1166" s="53" t="s">
        <v>184</v>
      </c>
      <c r="E1166" s="53" t="s">
        <v>42</v>
      </c>
      <c r="F1166" s="55" t="s">
        <v>140</v>
      </c>
      <c r="G1166" s="65"/>
      <c r="H1166" s="59"/>
      <c r="I1166" s="59"/>
      <c r="J1166" s="65"/>
      <c r="K1166" s="164"/>
      <c r="L1166" s="189"/>
      <c r="M1166" s="59"/>
      <c r="N1166" s="65"/>
      <c r="O1166" s="65"/>
      <c r="P1166" s="374"/>
      <c r="Q1166" s="375"/>
    </row>
    <row r="1167" spans="1:17" ht="14.25" customHeight="1" hidden="1">
      <c r="A1167" s="270"/>
      <c r="B1167" s="48" t="s">
        <v>226</v>
      </c>
      <c r="C1167" s="53" t="s">
        <v>128</v>
      </c>
      <c r="D1167" s="53" t="s">
        <v>184</v>
      </c>
      <c r="E1167" s="53" t="s">
        <v>42</v>
      </c>
      <c r="F1167" s="55" t="s">
        <v>140</v>
      </c>
      <c r="G1167" s="65"/>
      <c r="H1167" s="59"/>
      <c r="I1167" s="59"/>
      <c r="J1167" s="65"/>
      <c r="K1167" s="164"/>
      <c r="L1167" s="189"/>
      <c r="M1167" s="59"/>
      <c r="N1167" s="65"/>
      <c r="O1167" s="65"/>
      <c r="P1167" s="374"/>
      <c r="Q1167" s="375"/>
    </row>
    <row r="1168" spans="1:17" ht="14.25" customHeight="1" hidden="1">
      <c r="A1168" s="270" t="s">
        <v>159</v>
      </c>
      <c r="B1168" s="48"/>
      <c r="C1168" s="53" t="s">
        <v>128</v>
      </c>
      <c r="D1168" s="53" t="s">
        <v>184</v>
      </c>
      <c r="E1168" s="53" t="s">
        <v>42</v>
      </c>
      <c r="F1168" s="55" t="s">
        <v>140</v>
      </c>
      <c r="G1168" s="65">
        <f>SUM(G1169:G1173)</f>
        <v>0</v>
      </c>
      <c r="H1168" s="59">
        <f>SUM(H1169:H1173)</f>
        <v>0</v>
      </c>
      <c r="I1168" s="59">
        <f>SUM(I1169:I1173)</f>
        <v>0</v>
      </c>
      <c r="J1168" s="65">
        <f>SUM(J1169:J1173)</f>
        <v>0</v>
      </c>
      <c r="K1168" s="164">
        <f>SUM(K1169:K1173)</f>
        <v>0</v>
      </c>
      <c r="L1168" s="189"/>
      <c r="M1168" s="59"/>
      <c r="N1168" s="65"/>
      <c r="O1168" s="65"/>
      <c r="P1168" s="374"/>
      <c r="Q1168" s="375"/>
    </row>
    <row r="1169" spans="1:17" ht="14.25" customHeight="1" hidden="1">
      <c r="A1169" s="286" t="s">
        <v>160</v>
      </c>
      <c r="B1169" s="48" t="s">
        <v>134</v>
      </c>
      <c r="C1169" s="53" t="s">
        <v>128</v>
      </c>
      <c r="D1169" s="53" t="s">
        <v>184</v>
      </c>
      <c r="E1169" s="53" t="s">
        <v>42</v>
      </c>
      <c r="F1169" s="55" t="s">
        <v>140</v>
      </c>
      <c r="G1169" s="65"/>
      <c r="H1169" s="59"/>
      <c r="I1169" s="59"/>
      <c r="J1169" s="65"/>
      <c r="K1169" s="164"/>
      <c r="L1169" s="189"/>
      <c r="M1169" s="59"/>
      <c r="N1169" s="65"/>
      <c r="O1169" s="65"/>
      <c r="P1169" s="374"/>
      <c r="Q1169" s="375"/>
    </row>
    <row r="1170" spans="1:17" ht="14.25" customHeight="1" hidden="1">
      <c r="A1170" s="270" t="s">
        <v>338</v>
      </c>
      <c r="B1170" s="48" t="s">
        <v>134</v>
      </c>
      <c r="C1170" s="53" t="s">
        <v>128</v>
      </c>
      <c r="D1170" s="53" t="s">
        <v>184</v>
      </c>
      <c r="E1170" s="53" t="s">
        <v>42</v>
      </c>
      <c r="F1170" s="55" t="s">
        <v>140</v>
      </c>
      <c r="G1170" s="65"/>
      <c r="H1170" s="59"/>
      <c r="I1170" s="59"/>
      <c r="J1170" s="65"/>
      <c r="K1170" s="164"/>
      <c r="L1170" s="189"/>
      <c r="M1170" s="59"/>
      <c r="N1170" s="65"/>
      <c r="O1170" s="65"/>
      <c r="P1170" s="374"/>
      <c r="Q1170" s="375"/>
    </row>
    <row r="1171" spans="1:17" ht="14.25" customHeight="1" hidden="1">
      <c r="A1171" s="270" t="s">
        <v>338</v>
      </c>
      <c r="B1171" s="48" t="s">
        <v>226</v>
      </c>
      <c r="C1171" s="53" t="s">
        <v>128</v>
      </c>
      <c r="D1171" s="53" t="s">
        <v>184</v>
      </c>
      <c r="E1171" s="53" t="s">
        <v>42</v>
      </c>
      <c r="F1171" s="55" t="s">
        <v>140</v>
      </c>
      <c r="G1171" s="65">
        <v>0</v>
      </c>
      <c r="H1171" s="59">
        <v>0</v>
      </c>
      <c r="I1171" s="59">
        <v>0</v>
      </c>
      <c r="J1171" s="65">
        <v>0</v>
      </c>
      <c r="K1171" s="164">
        <v>0</v>
      </c>
      <c r="L1171" s="189"/>
      <c r="M1171" s="59"/>
      <c r="N1171" s="65"/>
      <c r="O1171" s="65"/>
      <c r="P1171" s="374"/>
      <c r="Q1171" s="375"/>
    </row>
    <row r="1172" spans="1:17" ht="14.25" customHeight="1" hidden="1">
      <c r="A1172" s="270" t="s">
        <v>338</v>
      </c>
      <c r="B1172" s="48" t="s">
        <v>265</v>
      </c>
      <c r="C1172" s="53" t="s">
        <v>128</v>
      </c>
      <c r="D1172" s="53" t="s">
        <v>184</v>
      </c>
      <c r="E1172" s="53" t="s">
        <v>42</v>
      </c>
      <c r="F1172" s="55" t="s">
        <v>140</v>
      </c>
      <c r="G1172" s="65"/>
      <c r="H1172" s="59"/>
      <c r="I1172" s="59"/>
      <c r="J1172" s="65"/>
      <c r="K1172" s="164"/>
      <c r="L1172" s="189"/>
      <c r="M1172" s="59"/>
      <c r="N1172" s="65"/>
      <c r="O1172" s="65"/>
      <c r="P1172" s="374"/>
      <c r="Q1172" s="375"/>
    </row>
    <row r="1173" spans="1:17" ht="14.25" customHeight="1" hidden="1">
      <c r="A1173" s="270"/>
      <c r="B1173" s="48" t="s">
        <v>265</v>
      </c>
      <c r="C1173" s="53" t="s">
        <v>128</v>
      </c>
      <c r="D1173" s="53" t="s">
        <v>184</v>
      </c>
      <c r="E1173" s="53" t="s">
        <v>42</v>
      </c>
      <c r="F1173" s="55" t="s">
        <v>140</v>
      </c>
      <c r="G1173" s="65"/>
      <c r="H1173" s="59"/>
      <c r="I1173" s="59"/>
      <c r="J1173" s="65"/>
      <c r="K1173" s="164"/>
      <c r="L1173" s="189"/>
      <c r="M1173" s="59"/>
      <c r="N1173" s="65"/>
      <c r="O1173" s="65"/>
      <c r="P1173" s="374"/>
      <c r="Q1173" s="375"/>
    </row>
    <row r="1174" spans="1:17" ht="14.25" customHeight="1" hidden="1">
      <c r="A1174" s="270" t="s">
        <v>51</v>
      </c>
      <c r="B1174" s="48"/>
      <c r="C1174" s="53" t="s">
        <v>128</v>
      </c>
      <c r="D1174" s="53" t="s">
        <v>131</v>
      </c>
      <c r="E1174" s="53" t="s">
        <v>132</v>
      </c>
      <c r="F1174" s="55" t="s">
        <v>133</v>
      </c>
      <c r="G1174" s="156" t="e">
        <f>G1175+G1191</f>
        <v>#REF!</v>
      </c>
      <c r="H1174" s="157" t="e">
        <f>H1175+H1191</f>
        <v>#REF!</v>
      </c>
      <c r="I1174" s="157" t="e">
        <f>I1175+I1191</f>
        <v>#REF!</v>
      </c>
      <c r="J1174" s="156" t="e">
        <f>J1175+J1191</f>
        <v>#REF!</v>
      </c>
      <c r="K1174" s="174" t="e">
        <f>K1175+K1191</f>
        <v>#REF!</v>
      </c>
      <c r="L1174" s="188"/>
      <c r="M1174" s="157"/>
      <c r="N1174" s="156"/>
      <c r="O1174" s="156"/>
      <c r="P1174" s="372"/>
      <c r="Q1174" s="373"/>
    </row>
    <row r="1175" spans="1:17" ht="14.25" customHeight="1" hidden="1">
      <c r="A1175" s="270" t="s">
        <v>141</v>
      </c>
      <c r="B1175" s="48"/>
      <c r="C1175" s="53" t="s">
        <v>128</v>
      </c>
      <c r="D1175" s="53" t="s">
        <v>131</v>
      </c>
      <c r="E1175" s="53" t="s">
        <v>132</v>
      </c>
      <c r="F1175" s="55" t="s">
        <v>133</v>
      </c>
      <c r="G1175" s="65" t="e">
        <f>G1176+G1180+G1187+G1190</f>
        <v>#REF!</v>
      </c>
      <c r="H1175" s="59" t="e">
        <f>H1176+H1180+H1187+H1190</f>
        <v>#REF!</v>
      </c>
      <c r="I1175" s="59" t="e">
        <f>I1176+I1180+I1187+I1190</f>
        <v>#REF!</v>
      </c>
      <c r="J1175" s="65" t="e">
        <f>J1176+J1180+J1187+J1190</f>
        <v>#REF!</v>
      </c>
      <c r="K1175" s="164" t="e">
        <f>K1176+K1180+K1187+K1190</f>
        <v>#REF!</v>
      </c>
      <c r="L1175" s="189"/>
      <c r="M1175" s="59"/>
      <c r="N1175" s="65"/>
      <c r="O1175" s="65"/>
      <c r="P1175" s="374"/>
      <c r="Q1175" s="375"/>
    </row>
    <row r="1176" spans="1:17" ht="14.25" customHeight="1" hidden="1">
      <c r="A1176" s="270" t="s">
        <v>142</v>
      </c>
      <c r="B1176" s="48"/>
      <c r="C1176" s="53" t="s">
        <v>128</v>
      </c>
      <c r="D1176" s="53" t="s">
        <v>131</v>
      </c>
      <c r="E1176" s="53" t="s">
        <v>132</v>
      </c>
      <c r="F1176" s="55" t="s">
        <v>133</v>
      </c>
      <c r="G1176" s="65">
        <f>SUM(G1177:G1179)</f>
        <v>0</v>
      </c>
      <c r="H1176" s="59">
        <f>SUM(H1177:H1179)</f>
        <v>0</v>
      </c>
      <c r="I1176" s="59">
        <f>SUM(I1177:I1179)</f>
        <v>0</v>
      </c>
      <c r="J1176" s="65">
        <f>SUM(J1177:J1179)</f>
        <v>0</v>
      </c>
      <c r="K1176" s="164">
        <f>SUM(K1177:K1179)</f>
        <v>0</v>
      </c>
      <c r="L1176" s="189"/>
      <c r="M1176" s="59"/>
      <c r="N1176" s="65"/>
      <c r="O1176" s="65"/>
      <c r="P1176" s="374"/>
      <c r="Q1176" s="375"/>
    </row>
    <row r="1177" spans="1:17" ht="14.25" customHeight="1" hidden="1">
      <c r="A1177" s="270" t="s">
        <v>143</v>
      </c>
      <c r="B1177" s="48"/>
      <c r="C1177" s="53" t="s">
        <v>128</v>
      </c>
      <c r="D1177" s="53" t="s">
        <v>131</v>
      </c>
      <c r="E1177" s="53" t="s">
        <v>132</v>
      </c>
      <c r="F1177" s="55" t="s">
        <v>133</v>
      </c>
      <c r="G1177" s="65">
        <f>G1090+G1114+G1059</f>
        <v>0</v>
      </c>
      <c r="H1177" s="59">
        <f>H1090+H1114+H1059</f>
        <v>0</v>
      </c>
      <c r="I1177" s="59">
        <f>I1090+I1114+I1059</f>
        <v>0</v>
      </c>
      <c r="J1177" s="65">
        <f>J1090+J1114+J1059</f>
        <v>0</v>
      </c>
      <c r="K1177" s="164">
        <f>K1090+K1114+K1059</f>
        <v>0</v>
      </c>
      <c r="L1177" s="189"/>
      <c r="M1177" s="59"/>
      <c r="N1177" s="65"/>
      <c r="O1177" s="65"/>
      <c r="P1177" s="374"/>
      <c r="Q1177" s="375"/>
    </row>
    <row r="1178" spans="1:17" ht="14.25" customHeight="1" hidden="1">
      <c r="A1178" s="270" t="s">
        <v>144</v>
      </c>
      <c r="B1178" s="48"/>
      <c r="C1178" s="53" t="s">
        <v>128</v>
      </c>
      <c r="D1178" s="53" t="s">
        <v>131</v>
      </c>
      <c r="E1178" s="53" t="s">
        <v>132</v>
      </c>
      <c r="F1178" s="55" t="s">
        <v>133</v>
      </c>
      <c r="G1178" s="65">
        <f>G1091+G1115</f>
        <v>0</v>
      </c>
      <c r="H1178" s="59">
        <f>H1091+H1115</f>
        <v>0</v>
      </c>
      <c r="I1178" s="59">
        <f>I1091+I1115</f>
        <v>0</v>
      </c>
      <c r="J1178" s="65">
        <f>J1091+J1115</f>
        <v>0</v>
      </c>
      <c r="K1178" s="164">
        <f>K1091+K1115</f>
        <v>0</v>
      </c>
      <c r="L1178" s="189"/>
      <c r="M1178" s="59"/>
      <c r="N1178" s="65"/>
      <c r="O1178" s="65"/>
      <c r="P1178" s="374"/>
      <c r="Q1178" s="375"/>
    </row>
    <row r="1179" spans="1:17" ht="14.25" customHeight="1" hidden="1">
      <c r="A1179" s="270" t="s">
        <v>145</v>
      </c>
      <c r="B1179" s="48"/>
      <c r="C1179" s="53" t="s">
        <v>128</v>
      </c>
      <c r="D1179" s="53" t="s">
        <v>131</v>
      </c>
      <c r="E1179" s="53" t="s">
        <v>132</v>
      </c>
      <c r="F1179" s="55" t="s">
        <v>133</v>
      </c>
      <c r="G1179" s="65">
        <f>G1092+G1116+G1060</f>
        <v>0</v>
      </c>
      <c r="H1179" s="59">
        <f>H1092+H1116+H1060</f>
        <v>0</v>
      </c>
      <c r="I1179" s="59">
        <f>I1092+I1116+I1060</f>
        <v>0</v>
      </c>
      <c r="J1179" s="65">
        <f>J1092+J1116+J1060</f>
        <v>0</v>
      </c>
      <c r="K1179" s="164">
        <f>K1092+K1116+K1060</f>
        <v>0</v>
      </c>
      <c r="L1179" s="189"/>
      <c r="M1179" s="59"/>
      <c r="N1179" s="65"/>
      <c r="O1179" s="65"/>
      <c r="P1179" s="374"/>
      <c r="Q1179" s="375"/>
    </row>
    <row r="1180" spans="1:17" ht="14.25" customHeight="1" hidden="1">
      <c r="A1180" s="270" t="s">
        <v>153</v>
      </c>
      <c r="B1180" s="48"/>
      <c r="C1180" s="53" t="s">
        <v>128</v>
      </c>
      <c r="D1180" s="53" t="s">
        <v>131</v>
      </c>
      <c r="E1180" s="53" t="s">
        <v>132</v>
      </c>
      <c r="F1180" s="55" t="s">
        <v>133</v>
      </c>
      <c r="G1180" s="65" t="e">
        <f>SUM(G1181:G1186)</f>
        <v>#REF!</v>
      </c>
      <c r="H1180" s="59" t="e">
        <f>SUM(H1181:H1186)</f>
        <v>#REF!</v>
      </c>
      <c r="I1180" s="59" t="e">
        <f>SUM(I1181:I1186)</f>
        <v>#REF!</v>
      </c>
      <c r="J1180" s="65" t="e">
        <f>SUM(J1181:J1186)</f>
        <v>#REF!</v>
      </c>
      <c r="K1180" s="164" t="e">
        <f>SUM(K1181:K1186)</f>
        <v>#REF!</v>
      </c>
      <c r="L1180" s="189"/>
      <c r="M1180" s="59"/>
      <c r="N1180" s="65"/>
      <c r="O1180" s="65"/>
      <c r="P1180" s="374"/>
      <c r="Q1180" s="375"/>
    </row>
    <row r="1181" spans="1:17" ht="14.25" customHeight="1" hidden="1">
      <c r="A1181" s="270" t="s">
        <v>154</v>
      </c>
      <c r="B1181" s="48"/>
      <c r="C1181" s="53" t="s">
        <v>128</v>
      </c>
      <c r="D1181" s="53" t="s">
        <v>131</v>
      </c>
      <c r="E1181" s="53" t="s">
        <v>132</v>
      </c>
      <c r="F1181" s="55" t="s">
        <v>133</v>
      </c>
      <c r="G1181" s="65" t="e">
        <f>#REF!+G1094+G1118+G1062</f>
        <v>#REF!</v>
      </c>
      <c r="H1181" s="59" t="e">
        <f>#REF!+H1094+H1118+H1062</f>
        <v>#REF!</v>
      </c>
      <c r="I1181" s="59" t="e">
        <f>#REF!+I1094+I1118+I1062</f>
        <v>#REF!</v>
      </c>
      <c r="J1181" s="65" t="e">
        <f>#REF!+J1094+J1118+J1062</f>
        <v>#REF!</v>
      </c>
      <c r="K1181" s="164" t="e">
        <f>#REF!+K1094+K1118+K1062</f>
        <v>#REF!</v>
      </c>
      <c r="L1181" s="189"/>
      <c r="M1181" s="59"/>
      <c r="N1181" s="65"/>
      <c r="O1181" s="65"/>
      <c r="P1181" s="374"/>
      <c r="Q1181" s="375"/>
    </row>
    <row r="1182" spans="1:17" ht="14.25" customHeight="1" hidden="1">
      <c r="A1182" s="270" t="s">
        <v>155</v>
      </c>
      <c r="B1182" s="48"/>
      <c r="C1182" s="53" t="s">
        <v>128</v>
      </c>
      <c r="D1182" s="53" t="s">
        <v>131</v>
      </c>
      <c r="E1182" s="53" t="s">
        <v>132</v>
      </c>
      <c r="F1182" s="55" t="s">
        <v>133</v>
      </c>
      <c r="G1182" s="65">
        <f>G1095+G1119</f>
        <v>0</v>
      </c>
      <c r="H1182" s="59">
        <f>H1095+H1119</f>
        <v>0</v>
      </c>
      <c r="I1182" s="59">
        <f>I1095+I1119</f>
        <v>0</v>
      </c>
      <c r="J1182" s="65">
        <f>J1095+J1119</f>
        <v>0</v>
      </c>
      <c r="K1182" s="164">
        <f>K1095+K1119</f>
        <v>0</v>
      </c>
      <c r="L1182" s="189"/>
      <c r="M1182" s="59"/>
      <c r="N1182" s="65"/>
      <c r="O1182" s="65"/>
      <c r="P1182" s="374"/>
      <c r="Q1182" s="375"/>
    </row>
    <row r="1183" spans="1:17" ht="14.25" customHeight="1" hidden="1">
      <c r="A1183" s="270" t="s">
        <v>173</v>
      </c>
      <c r="B1183" s="48"/>
      <c r="C1183" s="53" t="s">
        <v>128</v>
      </c>
      <c r="D1183" s="53" t="s">
        <v>131</v>
      </c>
      <c r="E1183" s="53" t="s">
        <v>132</v>
      </c>
      <c r="F1183" s="55" t="s">
        <v>133</v>
      </c>
      <c r="G1183" s="65">
        <f>G1120</f>
        <v>0</v>
      </c>
      <c r="H1183" s="59">
        <f>H1120</f>
        <v>0</v>
      </c>
      <c r="I1183" s="59">
        <f>I1120</f>
        <v>0</v>
      </c>
      <c r="J1183" s="65">
        <f>J1120</f>
        <v>0</v>
      </c>
      <c r="K1183" s="164">
        <f>K1120</f>
        <v>0</v>
      </c>
      <c r="L1183" s="189"/>
      <c r="M1183" s="59"/>
      <c r="N1183" s="65"/>
      <c r="O1183" s="65"/>
      <c r="P1183" s="374"/>
      <c r="Q1183" s="375"/>
    </row>
    <row r="1184" spans="1:17" ht="14.25" customHeight="1" hidden="1">
      <c r="A1184" s="270" t="s">
        <v>174</v>
      </c>
      <c r="B1184" s="48"/>
      <c r="C1184" s="53" t="s">
        <v>128</v>
      </c>
      <c r="D1184" s="53" t="s">
        <v>131</v>
      </c>
      <c r="E1184" s="53" t="s">
        <v>132</v>
      </c>
      <c r="F1184" s="55" t="s">
        <v>133</v>
      </c>
      <c r="G1184" s="65">
        <f aca="true" t="shared" si="207" ref="G1184:K1185">G1121+G1097</f>
        <v>0</v>
      </c>
      <c r="H1184" s="59">
        <f t="shared" si="207"/>
        <v>0</v>
      </c>
      <c r="I1184" s="59">
        <f t="shared" si="207"/>
        <v>0</v>
      </c>
      <c r="J1184" s="65">
        <f t="shared" si="207"/>
        <v>0</v>
      </c>
      <c r="K1184" s="164">
        <f t="shared" si="207"/>
        <v>0</v>
      </c>
      <c r="L1184" s="189"/>
      <c r="M1184" s="59"/>
      <c r="N1184" s="65"/>
      <c r="O1184" s="65"/>
      <c r="P1184" s="374"/>
      <c r="Q1184" s="375"/>
    </row>
    <row r="1185" spans="1:17" ht="14.25" customHeight="1" hidden="1">
      <c r="A1185" s="270" t="s">
        <v>156</v>
      </c>
      <c r="B1185" s="48"/>
      <c r="C1185" s="53" t="s">
        <v>128</v>
      </c>
      <c r="D1185" s="53" t="s">
        <v>131</v>
      </c>
      <c r="E1185" s="53" t="s">
        <v>132</v>
      </c>
      <c r="F1185" s="55" t="s">
        <v>133</v>
      </c>
      <c r="G1185" s="65">
        <f t="shared" si="207"/>
        <v>0</v>
      </c>
      <c r="H1185" s="59">
        <f t="shared" si="207"/>
        <v>0</v>
      </c>
      <c r="I1185" s="59">
        <f t="shared" si="207"/>
        <v>0</v>
      </c>
      <c r="J1185" s="65">
        <f t="shared" si="207"/>
        <v>0</v>
      </c>
      <c r="K1185" s="164">
        <f t="shared" si="207"/>
        <v>0</v>
      </c>
      <c r="L1185" s="189"/>
      <c r="M1185" s="59"/>
      <c r="N1185" s="65"/>
      <c r="O1185" s="65"/>
      <c r="P1185" s="374"/>
      <c r="Q1185" s="375"/>
    </row>
    <row r="1186" spans="1:17" ht="14.25" customHeight="1" hidden="1">
      <c r="A1186" s="270" t="s">
        <v>157</v>
      </c>
      <c r="B1186" s="48"/>
      <c r="C1186" s="53" t="s">
        <v>128</v>
      </c>
      <c r="D1186" s="53" t="s">
        <v>131</v>
      </c>
      <c r="E1186" s="53" t="s">
        <v>132</v>
      </c>
      <c r="F1186" s="55" t="s">
        <v>133</v>
      </c>
      <c r="G1186" s="65" t="e">
        <f>#REF!+#REF!+G1099+G1162+G1163+G1165+#REF!+G1148+G1149+#REF!+G1123+G1167+G1063</f>
        <v>#REF!</v>
      </c>
      <c r="H1186" s="59" t="e">
        <f>#REF!+#REF!+H1099+H1162+H1163+H1165+#REF!+H1148+H1149+#REF!+H1123+H1167+H1063</f>
        <v>#REF!</v>
      </c>
      <c r="I1186" s="59" t="e">
        <f>#REF!+#REF!+I1099+I1162+I1163+I1165+#REF!+I1148+I1149+#REF!+I1123+I1167+I1063</f>
        <v>#REF!</v>
      </c>
      <c r="J1186" s="65" t="e">
        <f>#REF!+#REF!+J1099+J1162+J1163+J1165+#REF!+J1148+J1149+#REF!+J1123+J1167+J1063</f>
        <v>#REF!</v>
      </c>
      <c r="K1186" s="164" t="e">
        <f>#REF!+#REF!+K1099+K1162+K1163+K1165+#REF!+K1148+K1149+#REF!+K1123+K1167+K1063</f>
        <v>#REF!</v>
      </c>
      <c r="L1186" s="189"/>
      <c r="M1186" s="59"/>
      <c r="N1186" s="65"/>
      <c r="O1186" s="65"/>
      <c r="P1186" s="374"/>
      <c r="Q1186" s="375"/>
    </row>
    <row r="1187" spans="1:17" ht="14.25" customHeight="1" hidden="1">
      <c r="A1187" s="288" t="s">
        <v>319</v>
      </c>
      <c r="B1187" s="48"/>
      <c r="C1187" s="53" t="s">
        <v>128</v>
      </c>
      <c r="D1187" s="53" t="s">
        <v>131</v>
      </c>
      <c r="E1187" s="53" t="s">
        <v>132</v>
      </c>
      <c r="F1187" s="55" t="s">
        <v>194</v>
      </c>
      <c r="G1187" s="65">
        <f>SUM(G1188:G1189)</f>
        <v>4380</v>
      </c>
      <c r="H1187" s="59">
        <f>SUM(H1188:H1189)</f>
        <v>4380</v>
      </c>
      <c r="I1187" s="59">
        <f>SUM(I1188:I1189)</f>
        <v>4380</v>
      </c>
      <c r="J1187" s="65">
        <f>SUM(J1188:J1189)</f>
        <v>4380</v>
      </c>
      <c r="K1187" s="164">
        <f>SUM(K1188:K1189)</f>
        <v>4380</v>
      </c>
      <c r="L1187" s="189"/>
      <c r="M1187" s="59"/>
      <c r="N1187" s="65"/>
      <c r="O1187" s="65"/>
      <c r="P1187" s="374"/>
      <c r="Q1187" s="375"/>
    </row>
    <row r="1188" spans="1:17" ht="14.25" customHeight="1" hidden="1">
      <c r="A1188" s="270" t="s">
        <v>320</v>
      </c>
      <c r="B1188" s="48"/>
      <c r="C1188" s="53" t="s">
        <v>128</v>
      </c>
      <c r="D1188" s="53" t="s">
        <v>131</v>
      </c>
      <c r="E1188" s="53" t="s">
        <v>132</v>
      </c>
      <c r="F1188" s="55" t="s">
        <v>194</v>
      </c>
      <c r="G1188" s="65"/>
      <c r="H1188" s="59"/>
      <c r="I1188" s="59"/>
      <c r="J1188" s="65"/>
      <c r="K1188" s="164"/>
      <c r="L1188" s="189"/>
      <c r="M1188" s="59"/>
      <c r="N1188" s="65"/>
      <c r="O1188" s="65"/>
      <c r="P1188" s="374"/>
      <c r="Q1188" s="375"/>
    </row>
    <row r="1189" spans="1:17" ht="14.25" customHeight="1" hidden="1">
      <c r="A1189" s="270" t="s">
        <v>7</v>
      </c>
      <c r="B1189" s="48"/>
      <c r="C1189" s="53" t="s">
        <v>128</v>
      </c>
      <c r="D1189" s="53" t="s">
        <v>131</v>
      </c>
      <c r="E1189" s="53" t="s">
        <v>132</v>
      </c>
      <c r="F1189" s="55" t="s">
        <v>194</v>
      </c>
      <c r="G1189" s="65">
        <f>G968</f>
        <v>4380</v>
      </c>
      <c r="H1189" s="59">
        <f>H968</f>
        <v>4380</v>
      </c>
      <c r="I1189" s="59">
        <f>I968</f>
        <v>4380</v>
      </c>
      <c r="J1189" s="65">
        <f>J968</f>
        <v>4380</v>
      </c>
      <c r="K1189" s="164">
        <f>K968</f>
        <v>4380</v>
      </c>
      <c r="L1189" s="189"/>
      <c r="M1189" s="59"/>
      <c r="N1189" s="65"/>
      <c r="O1189" s="65"/>
      <c r="P1189" s="374"/>
      <c r="Q1189" s="375"/>
    </row>
    <row r="1190" spans="1:17" ht="14.25" customHeight="1" hidden="1">
      <c r="A1190" s="270" t="s">
        <v>158</v>
      </c>
      <c r="B1190" s="48"/>
      <c r="C1190" s="53" t="s">
        <v>128</v>
      </c>
      <c r="D1190" s="53" t="s">
        <v>131</v>
      </c>
      <c r="E1190" s="53" t="s">
        <v>132</v>
      </c>
      <c r="F1190" s="55" t="s">
        <v>133</v>
      </c>
      <c r="G1190" s="65" t="e">
        <f>G1102+G1166+G1126+#REF!+#REF!+#REF!</f>
        <v>#REF!</v>
      </c>
      <c r="H1190" s="59" t="e">
        <f>H1102+H1166+H1126+#REF!+#REF!+#REF!</f>
        <v>#REF!</v>
      </c>
      <c r="I1190" s="59" t="e">
        <f>I1102+I1166+I1126+#REF!+#REF!+#REF!</f>
        <v>#REF!</v>
      </c>
      <c r="J1190" s="65" t="e">
        <f>J1102+J1166+J1126+#REF!+#REF!+#REF!</f>
        <v>#REF!</v>
      </c>
      <c r="K1190" s="164" t="e">
        <f>K1102+K1166+K1126+#REF!+#REF!+#REF!</f>
        <v>#REF!</v>
      </c>
      <c r="L1190" s="189"/>
      <c r="M1190" s="59"/>
      <c r="N1190" s="65"/>
      <c r="O1190" s="65"/>
      <c r="P1190" s="374"/>
      <c r="Q1190" s="375"/>
    </row>
    <row r="1191" spans="1:17" ht="14.25" customHeight="1" hidden="1">
      <c r="A1191" s="270" t="s">
        <v>159</v>
      </c>
      <c r="B1191" s="48"/>
      <c r="C1191" s="53" t="s">
        <v>128</v>
      </c>
      <c r="D1191" s="53" t="s">
        <v>131</v>
      </c>
      <c r="E1191" s="53" t="s">
        <v>132</v>
      </c>
      <c r="F1191" s="55" t="s">
        <v>133</v>
      </c>
      <c r="G1191" s="65" t="e">
        <f>SUM(G1192:G1193)</f>
        <v>#REF!</v>
      </c>
      <c r="H1191" s="59" t="e">
        <f>SUM(H1192:H1193)</f>
        <v>#REF!</v>
      </c>
      <c r="I1191" s="59" t="e">
        <f>SUM(I1192:I1193)</f>
        <v>#REF!</v>
      </c>
      <c r="J1191" s="65" t="e">
        <f>SUM(J1192:J1193)</f>
        <v>#REF!</v>
      </c>
      <c r="K1191" s="164" t="e">
        <f>SUM(K1192:K1193)</f>
        <v>#REF!</v>
      </c>
      <c r="L1191" s="189"/>
      <c r="M1191" s="59"/>
      <c r="N1191" s="65"/>
      <c r="O1191" s="65"/>
      <c r="P1191" s="374"/>
      <c r="Q1191" s="375"/>
    </row>
    <row r="1192" spans="1:17" ht="14.25" customHeight="1" hidden="1">
      <c r="A1192" s="270" t="s">
        <v>160</v>
      </c>
      <c r="B1192" s="48"/>
      <c r="C1192" s="53" t="s">
        <v>128</v>
      </c>
      <c r="D1192" s="53" t="s">
        <v>131</v>
      </c>
      <c r="E1192" s="53" t="s">
        <v>132</v>
      </c>
      <c r="F1192" s="55" t="s">
        <v>133</v>
      </c>
      <c r="G1192" s="65" t="e">
        <f>G1104+G1169+#REF!+G1128+G1065</f>
        <v>#REF!</v>
      </c>
      <c r="H1192" s="59" t="e">
        <f>H1104+H1169+#REF!+H1128+H1065</f>
        <v>#REF!</v>
      </c>
      <c r="I1192" s="59" t="e">
        <f>I1104+I1169+#REF!+I1128+I1065</f>
        <v>#REF!</v>
      </c>
      <c r="J1192" s="65" t="e">
        <f>J1104+J1169+#REF!+J1128+J1065</f>
        <v>#REF!</v>
      </c>
      <c r="K1192" s="164" t="e">
        <f>K1104+K1169+#REF!+K1128+K1065</f>
        <v>#REF!</v>
      </c>
      <c r="L1192" s="189"/>
      <c r="M1192" s="59"/>
      <c r="N1192" s="65"/>
      <c r="O1192" s="65"/>
      <c r="P1192" s="374"/>
      <c r="Q1192" s="375"/>
    </row>
    <row r="1193" spans="1:17" ht="14.25" customHeight="1" hidden="1">
      <c r="A1193" s="270" t="s">
        <v>161</v>
      </c>
      <c r="B1193" s="48"/>
      <c r="C1193" s="53" t="s">
        <v>128</v>
      </c>
      <c r="D1193" s="53" t="s">
        <v>131</v>
      </c>
      <c r="E1193" s="53" t="s">
        <v>132</v>
      </c>
      <c r="F1193" s="55" t="s">
        <v>133</v>
      </c>
      <c r="G1193" s="65" t="e">
        <f>G1106+G1170+G1171+G1172+G1130+G1154+G1066+G1156+G1155+G1157+#REF!+#REF!+G1173</f>
        <v>#REF!</v>
      </c>
      <c r="H1193" s="59" t="e">
        <f>H1106+H1170+H1171+H1172+H1130+H1154+H1066+H1156+H1155+H1157+#REF!+#REF!+H1173</f>
        <v>#REF!</v>
      </c>
      <c r="I1193" s="59" t="e">
        <f>I1106+I1170+I1171+I1172+I1130+I1154+I1066+I1156+I1155+I1157+#REF!+#REF!+I1173</f>
        <v>#REF!</v>
      </c>
      <c r="J1193" s="65" t="e">
        <f>J1106+J1170+J1171+J1172+J1130+J1154+J1066+J1156+J1155+J1157+#REF!+#REF!+J1173</f>
        <v>#REF!</v>
      </c>
      <c r="K1193" s="164" t="e">
        <f>K1106+K1170+K1171+K1172+K1130+K1154+K1066+K1156+K1155+K1157+#REF!+#REF!+K1173</f>
        <v>#REF!</v>
      </c>
      <c r="L1193" s="189"/>
      <c r="M1193" s="59"/>
      <c r="N1193" s="65"/>
      <c r="O1193" s="65"/>
      <c r="P1193" s="374"/>
      <c r="Q1193" s="375"/>
    </row>
    <row r="1194" spans="1:17" ht="14.25" customHeight="1" hidden="1">
      <c r="A1194" s="281" t="s">
        <v>217</v>
      </c>
      <c r="B1194" s="66"/>
      <c r="C1194" s="67"/>
      <c r="D1194" s="67"/>
      <c r="E1194" s="67"/>
      <c r="F1194" s="69"/>
      <c r="G1194" s="65" t="e">
        <f>G1177+G1178+G1179+G1181+G1182+G1183+G1184+G1185+G1186+G1188+G1189+G1190+G1192+G1193</f>
        <v>#REF!</v>
      </c>
      <c r="H1194" s="59" t="e">
        <f>H1177+H1178+H1179+H1181+H1182+H1183+H1184+H1185+H1186+H1188+H1189+H1190+H1192+H1193</f>
        <v>#REF!</v>
      </c>
      <c r="I1194" s="59" t="e">
        <f>I1177+I1178+I1179+I1181+I1182+I1183+I1184+I1185+I1186+I1188+I1189+I1190+I1192+I1193</f>
        <v>#REF!</v>
      </c>
      <c r="J1194" s="65" t="e">
        <f>J1177+J1178+J1179+J1181+J1182+J1183+J1184+J1185+J1186+J1188+J1189+J1190+J1192+J1193</f>
        <v>#REF!</v>
      </c>
      <c r="K1194" s="164" t="e">
        <f>K1177+K1178+K1179+K1181+K1182+K1183+K1184+K1185+K1186+K1188+K1189+K1190+K1192+K1193</f>
        <v>#REF!</v>
      </c>
      <c r="L1194" s="189"/>
      <c r="M1194" s="59"/>
      <c r="N1194" s="65"/>
      <c r="O1194" s="65"/>
      <c r="P1194" s="374"/>
      <c r="Q1194" s="375"/>
    </row>
    <row r="1195" spans="1:17" ht="14.25" customHeight="1" hidden="1">
      <c r="A1195" s="272"/>
      <c r="B1195" s="26"/>
      <c r="C1195" s="56"/>
      <c r="D1195" s="56"/>
      <c r="E1195" s="56"/>
      <c r="F1195" s="58" t="s">
        <v>167</v>
      </c>
      <c r="G1195" s="65"/>
      <c r="H1195" s="59"/>
      <c r="I1195" s="59"/>
      <c r="J1195" s="65"/>
      <c r="K1195" s="164"/>
      <c r="L1195" s="189"/>
      <c r="M1195" s="59"/>
      <c r="N1195" s="65"/>
      <c r="O1195" s="65"/>
      <c r="P1195" s="374"/>
      <c r="Q1195" s="375"/>
    </row>
    <row r="1196" spans="1:17" ht="14.25" customHeight="1" hidden="1">
      <c r="A1196" s="271" t="s">
        <v>80</v>
      </c>
      <c r="B1196" s="99" t="s">
        <v>134</v>
      </c>
      <c r="C1196" s="53" t="s">
        <v>128</v>
      </c>
      <c r="D1196" s="53" t="s">
        <v>184</v>
      </c>
      <c r="E1196" s="53" t="s">
        <v>47</v>
      </c>
      <c r="F1196" s="55" t="s">
        <v>77</v>
      </c>
      <c r="G1196" s="65">
        <v>110</v>
      </c>
      <c r="H1196" s="59">
        <v>120</v>
      </c>
      <c r="I1196" s="59"/>
      <c r="J1196" s="65"/>
      <c r="K1196" s="164">
        <f>G1196+J1196</f>
        <v>110</v>
      </c>
      <c r="L1196" s="189"/>
      <c r="M1196" s="59"/>
      <c r="N1196" s="65"/>
      <c r="O1196" s="65"/>
      <c r="P1196" s="374"/>
      <c r="Q1196" s="375"/>
    </row>
    <row r="1197" spans="1:17" ht="13.5" hidden="1" thickBot="1">
      <c r="A1197" s="272"/>
      <c r="B1197" s="26"/>
      <c r="C1197" s="56"/>
      <c r="D1197" s="56"/>
      <c r="E1197" s="56"/>
      <c r="F1197" s="58" t="s">
        <v>170</v>
      </c>
      <c r="G1197" s="72"/>
      <c r="H1197" s="80"/>
      <c r="I1197" s="80"/>
      <c r="J1197" s="72"/>
      <c r="K1197" s="162"/>
      <c r="L1197" s="194"/>
      <c r="M1197" s="80"/>
      <c r="N1197" s="72"/>
      <c r="O1197" s="72"/>
      <c r="P1197" s="374"/>
      <c r="Q1197" s="375"/>
    </row>
    <row r="1198" spans="1:17" ht="16.5" thickBot="1">
      <c r="A1198" s="267" t="s">
        <v>366</v>
      </c>
      <c r="B1198" s="21" t="s">
        <v>133</v>
      </c>
      <c r="C1198" s="22" t="s">
        <v>187</v>
      </c>
      <c r="D1198" s="22" t="s">
        <v>131</v>
      </c>
      <c r="E1198" s="22"/>
      <c r="F1198" s="24"/>
      <c r="G1198" s="132" t="e">
        <f>G1201+G1199</f>
        <v>#REF!</v>
      </c>
      <c r="H1198" s="132" t="e">
        <f>H1201+H1199</f>
        <v>#REF!</v>
      </c>
      <c r="I1198" s="132" t="e">
        <f>I1201+I1199</f>
        <v>#REF!</v>
      </c>
      <c r="J1198" s="132" t="e">
        <f>J1201+J1199</f>
        <v>#REF!</v>
      </c>
      <c r="K1198" s="175" t="e">
        <f>K1201+K1199</f>
        <v>#REF!</v>
      </c>
      <c r="L1198" s="322"/>
      <c r="M1198" s="25"/>
      <c r="N1198" s="132"/>
      <c r="O1198" s="132">
        <f>O1199</f>
        <v>1055.4</v>
      </c>
      <c r="P1198" s="378">
        <f aca="true" t="shared" si="208" ref="P1198:Q1200">P1199</f>
        <v>1135.3</v>
      </c>
      <c r="Q1198" s="379">
        <f t="shared" si="208"/>
        <v>1213.6</v>
      </c>
    </row>
    <row r="1199" spans="1:17" ht="16.5" customHeight="1">
      <c r="A1199" s="321" t="s">
        <v>367</v>
      </c>
      <c r="B1199" s="43" t="s">
        <v>133</v>
      </c>
      <c r="C1199" s="44" t="s">
        <v>187</v>
      </c>
      <c r="D1199" s="44" t="s">
        <v>130</v>
      </c>
      <c r="E1199" s="44"/>
      <c r="F1199" s="46"/>
      <c r="G1199" s="131" t="e">
        <f>#REF!+G1201</f>
        <v>#REF!</v>
      </c>
      <c r="H1199" s="131" t="e">
        <f>#REF!+H1201</f>
        <v>#REF!</v>
      </c>
      <c r="I1199" s="131" t="e">
        <f>#REF!+I1201</f>
        <v>#REF!</v>
      </c>
      <c r="J1199" s="131" t="e">
        <f>#REF!+J1201</f>
        <v>#REF!</v>
      </c>
      <c r="K1199" s="172" t="e">
        <f>#REF!+K1201</f>
        <v>#REF!</v>
      </c>
      <c r="L1199" s="172" t="e">
        <f>#REF!+L1201</f>
        <v>#REF!</v>
      </c>
      <c r="M1199" s="172" t="e">
        <f>#REF!+M1201</f>
        <v>#REF!</v>
      </c>
      <c r="N1199" s="172">
        <f>N1201</f>
        <v>0</v>
      </c>
      <c r="O1199" s="131">
        <f>O1200</f>
        <v>1055.4</v>
      </c>
      <c r="P1199" s="368">
        <f t="shared" si="208"/>
        <v>1135.3</v>
      </c>
      <c r="Q1199" s="369">
        <f t="shared" si="208"/>
        <v>1213.6</v>
      </c>
    </row>
    <row r="1200" spans="1:17" ht="16.5" customHeight="1">
      <c r="A1200" s="283" t="s">
        <v>402</v>
      </c>
      <c r="B1200" s="73" t="s">
        <v>133</v>
      </c>
      <c r="C1200" s="81" t="s">
        <v>187</v>
      </c>
      <c r="D1200" s="81" t="s">
        <v>130</v>
      </c>
      <c r="E1200" s="81" t="s">
        <v>219</v>
      </c>
      <c r="F1200" s="77"/>
      <c r="G1200" s="64">
        <f>G1266</f>
        <v>0</v>
      </c>
      <c r="H1200" s="37">
        <f aca="true" t="shared" si="209" ref="G1200:K1202">H1201</f>
        <v>0</v>
      </c>
      <c r="I1200" s="37">
        <f t="shared" si="209"/>
        <v>0</v>
      </c>
      <c r="J1200" s="64">
        <f>J1266</f>
        <v>0</v>
      </c>
      <c r="K1200" s="176">
        <f aca="true" t="shared" si="210" ref="K1200:O1201">K1267+K1268</f>
        <v>1596.8</v>
      </c>
      <c r="L1200" s="176">
        <f t="shared" si="210"/>
        <v>-15</v>
      </c>
      <c r="M1200" s="176">
        <f t="shared" si="210"/>
        <v>0</v>
      </c>
      <c r="N1200" s="176">
        <f t="shared" si="210"/>
        <v>0</v>
      </c>
      <c r="O1200" s="64">
        <f>O1201</f>
        <v>1055.4</v>
      </c>
      <c r="P1200" s="380">
        <f t="shared" si="208"/>
        <v>1135.3</v>
      </c>
      <c r="Q1200" s="381">
        <f t="shared" si="208"/>
        <v>1213.6</v>
      </c>
    </row>
    <row r="1201" spans="1:17" ht="25.5">
      <c r="A1201" s="283" t="s">
        <v>618</v>
      </c>
      <c r="B1201" s="73" t="s">
        <v>133</v>
      </c>
      <c r="C1201" s="81" t="s">
        <v>187</v>
      </c>
      <c r="D1201" s="81" t="s">
        <v>130</v>
      </c>
      <c r="E1201" s="81" t="s">
        <v>473</v>
      </c>
      <c r="F1201" s="77"/>
      <c r="G1201" s="64">
        <f>G1267</f>
        <v>656.5</v>
      </c>
      <c r="H1201" s="37">
        <f t="shared" si="209"/>
        <v>0</v>
      </c>
      <c r="I1201" s="37">
        <f t="shared" si="209"/>
        <v>0</v>
      </c>
      <c r="J1201" s="64">
        <f>J1267</f>
        <v>334</v>
      </c>
      <c r="K1201" s="176">
        <f t="shared" si="210"/>
        <v>990.5</v>
      </c>
      <c r="L1201" s="176">
        <f t="shared" si="210"/>
        <v>-15</v>
      </c>
      <c r="M1201" s="176">
        <f t="shared" si="210"/>
        <v>0</v>
      </c>
      <c r="N1201" s="176">
        <f t="shared" si="210"/>
        <v>0</v>
      </c>
      <c r="O1201" s="64">
        <f t="shared" si="210"/>
        <v>1055.4</v>
      </c>
      <c r="P1201" s="380">
        <f>P1268+P1269</f>
        <v>1135.3</v>
      </c>
      <c r="Q1201" s="381">
        <f>Q1268+Q1269</f>
        <v>1213.6</v>
      </c>
    </row>
    <row r="1202" spans="1:17" ht="25.5" hidden="1">
      <c r="A1202" s="270" t="s">
        <v>2</v>
      </c>
      <c r="B1202" s="48" t="s">
        <v>134</v>
      </c>
      <c r="C1202" s="49" t="s">
        <v>187</v>
      </c>
      <c r="D1202" s="49" t="s">
        <v>130</v>
      </c>
      <c r="E1202" s="49" t="s">
        <v>3</v>
      </c>
      <c r="F1202" s="51"/>
      <c r="G1202" s="71">
        <f t="shared" si="209"/>
        <v>0</v>
      </c>
      <c r="H1202" s="52">
        <f t="shared" si="209"/>
        <v>0</v>
      </c>
      <c r="I1202" s="52">
        <f t="shared" si="209"/>
        <v>0</v>
      </c>
      <c r="J1202" s="71">
        <f t="shared" si="209"/>
        <v>0</v>
      </c>
      <c r="K1202" s="173">
        <f t="shared" si="209"/>
        <v>0</v>
      </c>
      <c r="L1202" s="187"/>
      <c r="M1202" s="52"/>
      <c r="N1202" s="71"/>
      <c r="O1202" s="71"/>
      <c r="P1202" s="370"/>
      <c r="Q1202" s="371"/>
    </row>
    <row r="1203" spans="1:17" ht="3" customHeight="1" hidden="1" thickBot="1">
      <c r="A1203" s="288" t="s">
        <v>139</v>
      </c>
      <c r="B1203" s="48" t="s">
        <v>134</v>
      </c>
      <c r="C1203" s="53" t="s">
        <v>187</v>
      </c>
      <c r="D1203" s="53" t="s">
        <v>130</v>
      </c>
      <c r="E1203" s="53" t="s">
        <v>3</v>
      </c>
      <c r="F1203" s="55"/>
      <c r="G1203" s="65">
        <f>G1262+G1263+G1264+G1265+G1266</f>
        <v>0</v>
      </c>
      <c r="H1203" s="59">
        <f>H1262+H1263+H1264+H1265+H1266</f>
        <v>0</v>
      </c>
      <c r="I1203" s="59">
        <f>I1262+I1263+I1264+I1265+I1266</f>
        <v>0</v>
      </c>
      <c r="J1203" s="65">
        <f>J1262+J1263+J1264+J1265+J1266</f>
        <v>0</v>
      </c>
      <c r="K1203" s="164">
        <f>K1262+K1263+K1264+K1265+K1266</f>
        <v>0</v>
      </c>
      <c r="L1203" s="189"/>
      <c r="M1203" s="59"/>
      <c r="N1203" s="65"/>
      <c r="O1203" s="65"/>
      <c r="P1203" s="374"/>
      <c r="Q1203" s="375"/>
    </row>
    <row r="1204" spans="1:17" ht="12.75" hidden="1">
      <c r="A1204" s="270" t="s">
        <v>141</v>
      </c>
      <c r="B1204" s="48" t="s">
        <v>134</v>
      </c>
      <c r="C1204" s="53" t="s">
        <v>187</v>
      </c>
      <c r="D1204" s="53" t="s">
        <v>180</v>
      </c>
      <c r="E1204" s="53" t="s">
        <v>3</v>
      </c>
      <c r="F1204" s="55"/>
      <c r="G1204" s="71">
        <f>G1205+G1208</f>
        <v>0</v>
      </c>
      <c r="H1204" s="52">
        <f>H1205+H1208</f>
        <v>0</v>
      </c>
      <c r="I1204" s="52">
        <f>I1205+I1208</f>
        <v>0</v>
      </c>
      <c r="J1204" s="71">
        <f>J1205+J1208</f>
        <v>0</v>
      </c>
      <c r="K1204" s="173">
        <f>K1205+K1208</f>
        <v>0</v>
      </c>
      <c r="L1204" s="187"/>
      <c r="M1204" s="52"/>
      <c r="N1204" s="71"/>
      <c r="O1204" s="71"/>
      <c r="P1204" s="370"/>
      <c r="Q1204" s="371"/>
    </row>
    <row r="1205" spans="1:17" ht="3" customHeight="1" hidden="1">
      <c r="A1205" s="270" t="s">
        <v>153</v>
      </c>
      <c r="B1205" s="48" t="s">
        <v>134</v>
      </c>
      <c r="C1205" s="53" t="s">
        <v>187</v>
      </c>
      <c r="D1205" s="53" t="s">
        <v>180</v>
      </c>
      <c r="E1205" s="53" t="s">
        <v>3</v>
      </c>
      <c r="F1205" s="55"/>
      <c r="G1205" s="71">
        <f>G1206+G1207</f>
        <v>0</v>
      </c>
      <c r="H1205" s="52">
        <f>H1206+H1207</f>
        <v>0</v>
      </c>
      <c r="I1205" s="52">
        <f>I1206+I1207</f>
        <v>0</v>
      </c>
      <c r="J1205" s="71">
        <f>J1206+J1207</f>
        <v>0</v>
      </c>
      <c r="K1205" s="173">
        <f>K1206+K1207</f>
        <v>0</v>
      </c>
      <c r="L1205" s="187"/>
      <c r="M1205" s="52"/>
      <c r="N1205" s="71"/>
      <c r="O1205" s="71"/>
      <c r="P1205" s="370"/>
      <c r="Q1205" s="371"/>
    </row>
    <row r="1206" spans="1:17" ht="12" customHeight="1" hidden="1">
      <c r="A1206" s="270" t="s">
        <v>155</v>
      </c>
      <c r="B1206" s="48" t="s">
        <v>134</v>
      </c>
      <c r="C1206" s="53" t="s">
        <v>187</v>
      </c>
      <c r="D1206" s="53" t="s">
        <v>180</v>
      </c>
      <c r="E1206" s="53" t="s">
        <v>3</v>
      </c>
      <c r="F1206" s="55"/>
      <c r="G1206" s="71"/>
      <c r="H1206" s="52"/>
      <c r="I1206" s="52"/>
      <c r="J1206" s="71"/>
      <c r="K1206" s="173"/>
      <c r="L1206" s="187"/>
      <c r="M1206" s="52"/>
      <c r="N1206" s="71"/>
      <c r="O1206" s="71"/>
      <c r="P1206" s="370"/>
      <c r="Q1206" s="371"/>
    </row>
    <row r="1207" spans="1:17" ht="12.75" hidden="1">
      <c r="A1207" s="270" t="s">
        <v>157</v>
      </c>
      <c r="B1207" s="48" t="s">
        <v>134</v>
      </c>
      <c r="C1207" s="53" t="s">
        <v>187</v>
      </c>
      <c r="D1207" s="53" t="s">
        <v>180</v>
      </c>
      <c r="E1207" s="53" t="s">
        <v>3</v>
      </c>
      <c r="F1207" s="55"/>
      <c r="G1207" s="71"/>
      <c r="H1207" s="52"/>
      <c r="I1207" s="52"/>
      <c r="J1207" s="71"/>
      <c r="K1207" s="173"/>
      <c r="L1207" s="187"/>
      <c r="M1207" s="52"/>
      <c r="N1207" s="71"/>
      <c r="O1207" s="71"/>
      <c r="P1207" s="370"/>
      <c r="Q1207" s="371"/>
    </row>
    <row r="1208" spans="1:17" ht="12.75" hidden="1">
      <c r="A1208" s="270" t="s">
        <v>158</v>
      </c>
      <c r="B1208" s="48" t="s">
        <v>134</v>
      </c>
      <c r="C1208" s="53" t="s">
        <v>187</v>
      </c>
      <c r="D1208" s="53" t="s">
        <v>180</v>
      </c>
      <c r="E1208" s="53" t="s">
        <v>3</v>
      </c>
      <c r="F1208" s="55"/>
      <c r="G1208" s="71"/>
      <c r="H1208" s="52"/>
      <c r="I1208" s="52"/>
      <c r="J1208" s="71"/>
      <c r="K1208" s="173"/>
      <c r="L1208" s="187"/>
      <c r="M1208" s="52"/>
      <c r="N1208" s="71"/>
      <c r="O1208" s="71"/>
      <c r="P1208" s="370"/>
      <c r="Q1208" s="371"/>
    </row>
    <row r="1209" spans="1:17" ht="12" customHeight="1" hidden="1">
      <c r="A1209" s="270" t="s">
        <v>158</v>
      </c>
      <c r="B1209" s="48" t="s">
        <v>134</v>
      </c>
      <c r="C1209" s="53" t="s">
        <v>187</v>
      </c>
      <c r="D1209" s="53" t="s">
        <v>180</v>
      </c>
      <c r="E1209" s="53" t="s">
        <v>3</v>
      </c>
      <c r="F1209" s="55"/>
      <c r="G1209" s="71"/>
      <c r="H1209" s="52"/>
      <c r="I1209" s="52"/>
      <c r="J1209" s="71"/>
      <c r="K1209" s="173"/>
      <c r="L1209" s="187"/>
      <c r="M1209" s="52"/>
      <c r="N1209" s="71"/>
      <c r="O1209" s="71"/>
      <c r="P1209" s="370"/>
      <c r="Q1209" s="371"/>
    </row>
    <row r="1210" spans="1:17" ht="12.75" hidden="1">
      <c r="A1210" s="270" t="s">
        <v>159</v>
      </c>
      <c r="B1210" s="48" t="s">
        <v>134</v>
      </c>
      <c r="C1210" s="53" t="s">
        <v>187</v>
      </c>
      <c r="D1210" s="53" t="s">
        <v>180</v>
      </c>
      <c r="E1210" s="53" t="s">
        <v>3</v>
      </c>
      <c r="F1210" s="55"/>
      <c r="G1210" s="71">
        <f>G1211+G1212</f>
        <v>0</v>
      </c>
      <c r="H1210" s="52">
        <f>H1211+H1212</f>
        <v>0</v>
      </c>
      <c r="I1210" s="52">
        <f>I1211+I1212</f>
        <v>0</v>
      </c>
      <c r="J1210" s="71">
        <f>J1211+J1212</f>
        <v>0</v>
      </c>
      <c r="K1210" s="173">
        <f>K1211+K1212</f>
        <v>0</v>
      </c>
      <c r="L1210" s="187"/>
      <c r="M1210" s="52"/>
      <c r="N1210" s="71"/>
      <c r="O1210" s="71"/>
      <c r="P1210" s="370"/>
      <c r="Q1210" s="371"/>
    </row>
    <row r="1211" spans="1:17" ht="12" customHeight="1" hidden="1">
      <c r="A1211" s="270" t="s">
        <v>161</v>
      </c>
      <c r="B1211" s="48" t="s">
        <v>134</v>
      </c>
      <c r="C1211" s="53" t="s">
        <v>187</v>
      </c>
      <c r="D1211" s="53" t="s">
        <v>180</v>
      </c>
      <c r="E1211" s="53" t="s">
        <v>3</v>
      </c>
      <c r="F1211" s="55"/>
      <c r="G1211" s="71"/>
      <c r="H1211" s="52"/>
      <c r="I1211" s="52"/>
      <c r="J1211" s="71"/>
      <c r="K1211" s="173"/>
      <c r="L1211" s="187"/>
      <c r="M1211" s="52"/>
      <c r="N1211" s="71"/>
      <c r="O1211" s="71"/>
      <c r="P1211" s="370"/>
      <c r="Q1211" s="371"/>
    </row>
    <row r="1212" spans="1:17" ht="10.5" customHeight="1" hidden="1">
      <c r="A1212" s="270" t="s">
        <v>161</v>
      </c>
      <c r="B1212" s="48" t="s">
        <v>134</v>
      </c>
      <c r="C1212" s="53" t="s">
        <v>187</v>
      </c>
      <c r="D1212" s="53" t="s">
        <v>180</v>
      </c>
      <c r="E1212" s="53" t="s">
        <v>3</v>
      </c>
      <c r="F1212" s="55"/>
      <c r="G1212" s="71"/>
      <c r="H1212" s="52"/>
      <c r="I1212" s="52"/>
      <c r="J1212" s="71"/>
      <c r="K1212" s="173"/>
      <c r="L1212" s="187"/>
      <c r="M1212" s="52"/>
      <c r="N1212" s="71"/>
      <c r="O1212" s="71"/>
      <c r="P1212" s="370"/>
      <c r="Q1212" s="371"/>
    </row>
    <row r="1213" spans="1:17" ht="11.25" customHeight="1" hidden="1">
      <c r="A1213" s="270"/>
      <c r="B1213" s="48"/>
      <c r="C1213" s="49"/>
      <c r="D1213" s="49"/>
      <c r="E1213" s="49"/>
      <c r="F1213" s="51"/>
      <c r="G1213" s="71"/>
      <c r="H1213" s="52"/>
      <c r="I1213" s="52"/>
      <c r="J1213" s="71"/>
      <c r="K1213" s="173"/>
      <c r="L1213" s="187"/>
      <c r="M1213" s="52"/>
      <c r="N1213" s="71"/>
      <c r="O1213" s="71"/>
      <c r="P1213" s="370"/>
      <c r="Q1213" s="371"/>
    </row>
    <row r="1214" spans="1:17" ht="11.25" customHeight="1" hidden="1">
      <c r="A1214" s="270"/>
      <c r="B1214" s="48"/>
      <c r="C1214" s="49"/>
      <c r="D1214" s="49"/>
      <c r="E1214" s="49"/>
      <c r="F1214" s="51"/>
      <c r="G1214" s="71"/>
      <c r="H1214" s="52"/>
      <c r="I1214" s="52"/>
      <c r="J1214" s="71"/>
      <c r="K1214" s="173"/>
      <c r="L1214" s="187"/>
      <c r="M1214" s="52"/>
      <c r="N1214" s="71"/>
      <c r="O1214" s="71"/>
      <c r="P1214" s="370"/>
      <c r="Q1214" s="371"/>
    </row>
    <row r="1215" spans="1:17" ht="11.25" customHeight="1" hidden="1">
      <c r="A1215" s="270"/>
      <c r="B1215" s="48"/>
      <c r="C1215" s="49"/>
      <c r="D1215" s="49"/>
      <c r="E1215" s="49"/>
      <c r="F1215" s="51"/>
      <c r="G1215" s="71"/>
      <c r="H1215" s="52"/>
      <c r="I1215" s="52"/>
      <c r="J1215" s="71"/>
      <c r="K1215" s="173"/>
      <c r="L1215" s="187"/>
      <c r="M1215" s="52"/>
      <c r="N1215" s="71"/>
      <c r="O1215" s="71"/>
      <c r="P1215" s="370"/>
      <c r="Q1215" s="371"/>
    </row>
    <row r="1216" spans="1:17" ht="11.25" customHeight="1" hidden="1">
      <c r="A1216" s="270"/>
      <c r="B1216" s="48"/>
      <c r="C1216" s="49"/>
      <c r="D1216" s="49"/>
      <c r="E1216" s="49"/>
      <c r="F1216" s="51"/>
      <c r="G1216" s="71"/>
      <c r="H1216" s="52"/>
      <c r="I1216" s="52"/>
      <c r="J1216" s="71"/>
      <c r="K1216" s="173"/>
      <c r="L1216" s="187"/>
      <c r="M1216" s="52"/>
      <c r="N1216" s="71"/>
      <c r="O1216" s="71"/>
      <c r="P1216" s="370"/>
      <c r="Q1216" s="371"/>
    </row>
    <row r="1217" spans="1:17" ht="11.25" customHeight="1" hidden="1">
      <c r="A1217" s="270"/>
      <c r="B1217" s="48"/>
      <c r="C1217" s="49"/>
      <c r="D1217" s="49"/>
      <c r="E1217" s="49"/>
      <c r="F1217" s="51"/>
      <c r="G1217" s="71"/>
      <c r="H1217" s="52"/>
      <c r="I1217" s="52"/>
      <c r="J1217" s="71"/>
      <c r="K1217" s="173"/>
      <c r="L1217" s="187"/>
      <c r="M1217" s="52"/>
      <c r="N1217" s="71"/>
      <c r="O1217" s="71"/>
      <c r="P1217" s="370"/>
      <c r="Q1217" s="371"/>
    </row>
    <row r="1218" spans="1:17" ht="11.25" customHeight="1" hidden="1">
      <c r="A1218" s="270"/>
      <c r="B1218" s="48"/>
      <c r="C1218" s="49"/>
      <c r="D1218" s="49"/>
      <c r="E1218" s="49"/>
      <c r="F1218" s="51"/>
      <c r="G1218" s="71"/>
      <c r="H1218" s="52"/>
      <c r="I1218" s="52"/>
      <c r="J1218" s="71"/>
      <c r="K1218" s="173"/>
      <c r="L1218" s="187"/>
      <c r="M1218" s="52"/>
      <c r="N1218" s="71"/>
      <c r="O1218" s="71"/>
      <c r="P1218" s="370"/>
      <c r="Q1218" s="371"/>
    </row>
    <row r="1219" spans="1:17" ht="11.25" customHeight="1" hidden="1">
      <c r="A1219" s="270"/>
      <c r="B1219" s="48"/>
      <c r="C1219" s="49"/>
      <c r="D1219" s="49"/>
      <c r="E1219" s="49"/>
      <c r="F1219" s="51"/>
      <c r="G1219" s="71"/>
      <c r="H1219" s="52"/>
      <c r="I1219" s="52"/>
      <c r="J1219" s="71"/>
      <c r="K1219" s="173"/>
      <c r="L1219" s="187"/>
      <c r="M1219" s="52"/>
      <c r="N1219" s="71"/>
      <c r="O1219" s="71"/>
      <c r="P1219" s="370"/>
      <c r="Q1219" s="371"/>
    </row>
    <row r="1220" spans="1:17" ht="11.25" customHeight="1" hidden="1">
      <c r="A1220" s="270"/>
      <c r="B1220" s="48"/>
      <c r="C1220" s="53"/>
      <c r="D1220" s="53"/>
      <c r="E1220" s="53"/>
      <c r="F1220" s="55"/>
      <c r="G1220" s="71"/>
      <c r="H1220" s="52"/>
      <c r="I1220" s="52"/>
      <c r="J1220" s="71"/>
      <c r="K1220" s="173"/>
      <c r="L1220" s="187"/>
      <c r="M1220" s="52"/>
      <c r="N1220" s="71"/>
      <c r="O1220" s="71"/>
      <c r="P1220" s="370"/>
      <c r="Q1220" s="371"/>
    </row>
    <row r="1221" spans="1:17" ht="11.25" customHeight="1" hidden="1">
      <c r="A1221" s="270"/>
      <c r="B1221" s="48"/>
      <c r="C1221" s="53"/>
      <c r="D1221" s="53"/>
      <c r="E1221" s="53"/>
      <c r="F1221" s="55"/>
      <c r="G1221" s="71"/>
      <c r="H1221" s="52"/>
      <c r="I1221" s="52"/>
      <c r="J1221" s="71"/>
      <c r="K1221" s="173"/>
      <c r="L1221" s="187"/>
      <c r="M1221" s="52"/>
      <c r="N1221" s="71"/>
      <c r="O1221" s="71"/>
      <c r="P1221" s="370"/>
      <c r="Q1221" s="371"/>
    </row>
    <row r="1222" spans="1:17" ht="11.25" customHeight="1" hidden="1">
      <c r="A1222" s="270"/>
      <c r="B1222" s="48"/>
      <c r="C1222" s="53"/>
      <c r="D1222" s="53"/>
      <c r="E1222" s="53"/>
      <c r="F1222" s="55"/>
      <c r="G1222" s="71"/>
      <c r="H1222" s="52"/>
      <c r="I1222" s="52"/>
      <c r="J1222" s="71"/>
      <c r="K1222" s="173"/>
      <c r="L1222" s="187"/>
      <c r="M1222" s="52"/>
      <c r="N1222" s="71"/>
      <c r="O1222" s="71"/>
      <c r="P1222" s="370"/>
      <c r="Q1222" s="371"/>
    </row>
    <row r="1223" spans="1:17" ht="11.25" customHeight="1" hidden="1">
      <c r="A1223" s="270"/>
      <c r="B1223" s="48"/>
      <c r="C1223" s="53"/>
      <c r="D1223" s="53"/>
      <c r="E1223" s="53"/>
      <c r="F1223" s="55"/>
      <c r="G1223" s="71"/>
      <c r="H1223" s="52"/>
      <c r="I1223" s="52"/>
      <c r="J1223" s="71"/>
      <c r="K1223" s="173"/>
      <c r="L1223" s="187"/>
      <c r="M1223" s="52"/>
      <c r="N1223" s="71"/>
      <c r="O1223" s="71"/>
      <c r="P1223" s="370"/>
      <c r="Q1223" s="371"/>
    </row>
    <row r="1224" spans="1:17" ht="11.25" customHeight="1" hidden="1">
      <c r="A1224" s="270"/>
      <c r="B1224" s="48"/>
      <c r="C1224" s="53"/>
      <c r="D1224" s="53"/>
      <c r="E1224" s="53"/>
      <c r="F1224" s="55"/>
      <c r="G1224" s="71"/>
      <c r="H1224" s="52"/>
      <c r="I1224" s="52"/>
      <c r="J1224" s="71"/>
      <c r="K1224" s="173"/>
      <c r="L1224" s="187"/>
      <c r="M1224" s="52"/>
      <c r="N1224" s="71"/>
      <c r="O1224" s="71"/>
      <c r="P1224" s="370"/>
      <c r="Q1224" s="371"/>
    </row>
    <row r="1225" spans="1:17" ht="11.25" customHeight="1" hidden="1">
      <c r="A1225" s="270"/>
      <c r="B1225" s="48"/>
      <c r="C1225" s="53"/>
      <c r="D1225" s="53"/>
      <c r="E1225" s="53"/>
      <c r="F1225" s="55"/>
      <c r="G1225" s="71"/>
      <c r="H1225" s="52"/>
      <c r="I1225" s="52"/>
      <c r="J1225" s="71"/>
      <c r="K1225" s="173"/>
      <c r="L1225" s="187"/>
      <c r="M1225" s="52"/>
      <c r="N1225" s="71"/>
      <c r="O1225" s="71"/>
      <c r="P1225" s="370"/>
      <c r="Q1225" s="371"/>
    </row>
    <row r="1226" spans="1:17" ht="11.25" customHeight="1" hidden="1">
      <c r="A1226" s="270"/>
      <c r="B1226" s="48"/>
      <c r="C1226" s="49"/>
      <c r="D1226" s="49"/>
      <c r="E1226" s="351"/>
      <c r="F1226" s="51"/>
      <c r="G1226" s="71"/>
      <c r="H1226" s="52"/>
      <c r="I1226" s="52"/>
      <c r="J1226" s="71"/>
      <c r="K1226" s="173"/>
      <c r="L1226" s="187"/>
      <c r="M1226" s="52"/>
      <c r="N1226" s="71"/>
      <c r="O1226" s="71"/>
      <c r="P1226" s="370"/>
      <c r="Q1226" s="371"/>
    </row>
    <row r="1227" spans="1:17" ht="11.25" customHeight="1" hidden="1">
      <c r="A1227" s="288"/>
      <c r="B1227" s="48"/>
      <c r="C1227" s="49"/>
      <c r="D1227" s="49"/>
      <c r="E1227" s="351"/>
      <c r="F1227" s="51"/>
      <c r="G1227" s="71"/>
      <c r="H1227" s="52"/>
      <c r="I1227" s="52"/>
      <c r="J1227" s="71"/>
      <c r="K1227" s="173"/>
      <c r="L1227" s="187"/>
      <c r="M1227" s="52"/>
      <c r="N1227" s="71"/>
      <c r="O1227" s="71"/>
      <c r="P1227" s="370"/>
      <c r="Q1227" s="371"/>
    </row>
    <row r="1228" spans="1:17" ht="11.25" customHeight="1" hidden="1">
      <c r="A1228" s="288"/>
      <c r="B1228" s="48"/>
      <c r="C1228" s="53"/>
      <c r="D1228" s="53"/>
      <c r="E1228" s="107"/>
      <c r="F1228" s="55"/>
      <c r="G1228" s="71"/>
      <c r="H1228" s="52"/>
      <c r="I1228" s="52"/>
      <c r="J1228" s="71"/>
      <c r="K1228" s="173"/>
      <c r="L1228" s="187"/>
      <c r="M1228" s="52"/>
      <c r="N1228" s="71"/>
      <c r="O1228" s="71"/>
      <c r="P1228" s="370"/>
      <c r="Q1228" s="371"/>
    </row>
    <row r="1229" spans="1:17" ht="11.25" customHeight="1" hidden="1">
      <c r="A1229" s="288"/>
      <c r="B1229" s="48"/>
      <c r="C1229" s="53"/>
      <c r="D1229" s="53"/>
      <c r="E1229" s="107"/>
      <c r="F1229" s="55"/>
      <c r="G1229" s="71"/>
      <c r="H1229" s="52"/>
      <c r="I1229" s="52"/>
      <c r="J1229" s="71"/>
      <c r="K1229" s="173"/>
      <c r="L1229" s="187"/>
      <c r="M1229" s="52"/>
      <c r="N1229" s="71"/>
      <c r="O1229" s="71"/>
      <c r="P1229" s="370"/>
      <c r="Q1229" s="371"/>
    </row>
    <row r="1230" spans="1:17" ht="11.25" customHeight="1" hidden="1">
      <c r="A1230" s="288"/>
      <c r="B1230" s="48"/>
      <c r="C1230" s="53"/>
      <c r="D1230" s="53"/>
      <c r="E1230" s="107"/>
      <c r="F1230" s="55"/>
      <c r="G1230" s="71"/>
      <c r="H1230" s="52"/>
      <c r="I1230" s="52"/>
      <c r="J1230" s="71"/>
      <c r="K1230" s="173"/>
      <c r="L1230" s="187"/>
      <c r="M1230" s="52"/>
      <c r="N1230" s="71"/>
      <c r="O1230" s="71"/>
      <c r="P1230" s="370"/>
      <c r="Q1230" s="371"/>
    </row>
    <row r="1231" spans="1:17" ht="11.25" customHeight="1" hidden="1">
      <c r="A1231" s="298"/>
      <c r="B1231" s="48"/>
      <c r="C1231" s="53"/>
      <c r="D1231" s="53"/>
      <c r="E1231" s="107"/>
      <c r="F1231" s="55"/>
      <c r="G1231" s="71"/>
      <c r="H1231" s="52"/>
      <c r="I1231" s="52"/>
      <c r="J1231" s="71"/>
      <c r="K1231" s="173"/>
      <c r="L1231" s="187"/>
      <c r="M1231" s="52"/>
      <c r="N1231" s="71"/>
      <c r="O1231" s="71"/>
      <c r="P1231" s="370"/>
      <c r="Q1231" s="371"/>
    </row>
    <row r="1232" spans="1:17" ht="11.25" customHeight="1" hidden="1">
      <c r="A1232" s="270"/>
      <c r="B1232" s="48"/>
      <c r="C1232" s="53"/>
      <c r="D1232" s="53"/>
      <c r="E1232" s="352"/>
      <c r="F1232" s="55"/>
      <c r="G1232" s="71"/>
      <c r="H1232" s="52"/>
      <c r="I1232" s="52"/>
      <c r="J1232" s="71"/>
      <c r="K1232" s="173"/>
      <c r="L1232" s="187"/>
      <c r="M1232" s="52"/>
      <c r="N1232" s="71"/>
      <c r="O1232" s="71"/>
      <c r="P1232" s="370"/>
      <c r="Q1232" s="371"/>
    </row>
    <row r="1233" spans="1:17" ht="11.25" customHeight="1" hidden="1">
      <c r="A1233" s="270"/>
      <c r="B1233" s="48"/>
      <c r="C1233" s="53"/>
      <c r="D1233" s="53"/>
      <c r="E1233" s="107"/>
      <c r="F1233" s="55"/>
      <c r="G1233" s="71"/>
      <c r="H1233" s="52"/>
      <c r="I1233" s="52"/>
      <c r="J1233" s="71"/>
      <c r="K1233" s="173"/>
      <c r="L1233" s="187"/>
      <c r="M1233" s="52"/>
      <c r="N1233" s="71"/>
      <c r="O1233" s="71"/>
      <c r="P1233" s="370"/>
      <c r="Q1233" s="371"/>
    </row>
    <row r="1234" spans="1:17" ht="11.25" customHeight="1" hidden="1">
      <c r="A1234" s="270"/>
      <c r="B1234" s="48"/>
      <c r="C1234" s="53"/>
      <c r="D1234" s="53"/>
      <c r="E1234" s="107"/>
      <c r="F1234" s="55"/>
      <c r="G1234" s="71"/>
      <c r="H1234" s="52"/>
      <c r="I1234" s="52"/>
      <c r="J1234" s="71"/>
      <c r="K1234" s="173"/>
      <c r="L1234" s="187"/>
      <c r="M1234" s="52"/>
      <c r="N1234" s="71"/>
      <c r="O1234" s="71"/>
      <c r="P1234" s="370"/>
      <c r="Q1234" s="371"/>
    </row>
    <row r="1235" spans="1:17" ht="11.25" customHeight="1" hidden="1">
      <c r="A1235" s="270"/>
      <c r="B1235" s="48"/>
      <c r="C1235" s="53"/>
      <c r="D1235" s="53"/>
      <c r="E1235" s="107"/>
      <c r="F1235" s="55"/>
      <c r="G1235" s="71"/>
      <c r="H1235" s="52"/>
      <c r="I1235" s="52"/>
      <c r="J1235" s="71"/>
      <c r="K1235" s="173"/>
      <c r="L1235" s="187"/>
      <c r="M1235" s="52"/>
      <c r="N1235" s="71"/>
      <c r="O1235" s="71"/>
      <c r="P1235" s="370"/>
      <c r="Q1235" s="371"/>
    </row>
    <row r="1236" spans="1:17" ht="11.25" customHeight="1" hidden="1">
      <c r="A1236" s="270"/>
      <c r="B1236" s="48"/>
      <c r="C1236" s="53"/>
      <c r="D1236" s="53"/>
      <c r="E1236" s="107"/>
      <c r="F1236" s="55"/>
      <c r="G1236" s="71"/>
      <c r="H1236" s="52"/>
      <c r="I1236" s="52"/>
      <c r="J1236" s="71"/>
      <c r="K1236" s="173"/>
      <c r="L1236" s="187"/>
      <c r="M1236" s="52"/>
      <c r="N1236" s="71"/>
      <c r="O1236" s="71"/>
      <c r="P1236" s="370"/>
      <c r="Q1236" s="371"/>
    </row>
    <row r="1237" spans="1:17" ht="11.25" customHeight="1" hidden="1">
      <c r="A1237" s="270"/>
      <c r="B1237" s="48"/>
      <c r="C1237" s="53"/>
      <c r="D1237" s="53"/>
      <c r="E1237" s="107"/>
      <c r="F1237" s="55"/>
      <c r="G1237" s="71"/>
      <c r="H1237" s="52"/>
      <c r="I1237" s="52"/>
      <c r="J1237" s="71"/>
      <c r="K1237" s="173"/>
      <c r="L1237" s="187"/>
      <c r="M1237" s="52"/>
      <c r="N1237" s="71"/>
      <c r="O1237" s="71"/>
      <c r="P1237" s="370"/>
      <c r="Q1237" s="371"/>
    </row>
    <row r="1238" spans="1:17" ht="11.25" customHeight="1" hidden="1">
      <c r="A1238" s="270"/>
      <c r="B1238" s="48"/>
      <c r="C1238" s="53"/>
      <c r="D1238" s="53"/>
      <c r="E1238" s="107"/>
      <c r="F1238" s="55"/>
      <c r="G1238" s="71"/>
      <c r="H1238" s="52"/>
      <c r="I1238" s="52"/>
      <c r="J1238" s="71"/>
      <c r="K1238" s="173"/>
      <c r="L1238" s="187"/>
      <c r="M1238" s="52"/>
      <c r="N1238" s="71"/>
      <c r="O1238" s="71"/>
      <c r="P1238" s="370"/>
      <c r="Q1238" s="371"/>
    </row>
    <row r="1239" spans="1:17" ht="11.25" customHeight="1" hidden="1">
      <c r="A1239" s="270"/>
      <c r="B1239" s="48"/>
      <c r="C1239" s="53"/>
      <c r="D1239" s="53"/>
      <c r="E1239" s="107"/>
      <c r="F1239" s="55"/>
      <c r="G1239" s="71"/>
      <c r="H1239" s="52"/>
      <c r="I1239" s="52"/>
      <c r="J1239" s="71"/>
      <c r="K1239" s="173"/>
      <c r="L1239" s="187"/>
      <c r="M1239" s="52"/>
      <c r="N1239" s="71"/>
      <c r="O1239" s="71"/>
      <c r="P1239" s="370"/>
      <c r="Q1239" s="371"/>
    </row>
    <row r="1240" spans="1:17" ht="11.25" customHeight="1" hidden="1">
      <c r="A1240" s="270"/>
      <c r="B1240" s="48"/>
      <c r="C1240" s="53"/>
      <c r="D1240" s="53"/>
      <c r="E1240" s="107"/>
      <c r="F1240" s="55"/>
      <c r="G1240" s="71"/>
      <c r="H1240" s="52"/>
      <c r="I1240" s="52"/>
      <c r="J1240" s="71"/>
      <c r="K1240" s="173"/>
      <c r="L1240" s="187"/>
      <c r="M1240" s="52"/>
      <c r="N1240" s="71"/>
      <c r="O1240" s="71"/>
      <c r="P1240" s="370"/>
      <c r="Q1240" s="371"/>
    </row>
    <row r="1241" spans="1:17" ht="11.25" customHeight="1" hidden="1">
      <c r="A1241" s="270" t="s">
        <v>52</v>
      </c>
      <c r="B1241" s="48"/>
      <c r="C1241" s="49" t="s">
        <v>187</v>
      </c>
      <c r="D1241" s="49" t="s">
        <v>131</v>
      </c>
      <c r="E1241" s="49" t="s">
        <v>132</v>
      </c>
      <c r="F1241" s="51"/>
      <c r="G1241" s="133">
        <f>G1242+G1258</f>
        <v>0</v>
      </c>
      <c r="H1241" s="83">
        <f>H1242+H1258</f>
        <v>0</v>
      </c>
      <c r="I1241" s="83">
        <f>I1242+I1258</f>
        <v>0</v>
      </c>
      <c r="J1241" s="133">
        <f>J1242+J1258</f>
        <v>0</v>
      </c>
      <c r="K1241" s="179">
        <f>K1242+K1258</f>
        <v>0</v>
      </c>
      <c r="L1241" s="190"/>
      <c r="M1241" s="83"/>
      <c r="N1241" s="133"/>
      <c r="O1241" s="133"/>
      <c r="P1241" s="392"/>
      <c r="Q1241" s="393"/>
    </row>
    <row r="1242" spans="1:17" ht="0.75" customHeight="1" hidden="1">
      <c r="A1242" s="270" t="s">
        <v>141</v>
      </c>
      <c r="B1242" s="48"/>
      <c r="C1242" s="49" t="s">
        <v>187</v>
      </c>
      <c r="D1242" s="49" t="s">
        <v>131</v>
      </c>
      <c r="E1242" s="49" t="s">
        <v>132</v>
      </c>
      <c r="F1242" s="51"/>
      <c r="G1242" s="71">
        <f>G1243+G1247+G1254+G1257</f>
        <v>0</v>
      </c>
      <c r="H1242" s="52">
        <f>H1243+H1247+H1254+H1257</f>
        <v>0</v>
      </c>
      <c r="I1242" s="52">
        <f>I1243+I1247+I1254+I1257</f>
        <v>0</v>
      </c>
      <c r="J1242" s="71">
        <f>J1243+J1247+J1254+J1257</f>
        <v>0</v>
      </c>
      <c r="K1242" s="173">
        <f>K1243+K1247+K1254+K1257</f>
        <v>0</v>
      </c>
      <c r="L1242" s="187"/>
      <c r="M1242" s="52"/>
      <c r="N1242" s="71"/>
      <c r="O1242" s="71"/>
      <c r="P1242" s="370"/>
      <c r="Q1242" s="371"/>
    </row>
    <row r="1243" spans="1:17" ht="10.5" customHeight="1" hidden="1">
      <c r="A1243" s="270" t="s">
        <v>142</v>
      </c>
      <c r="B1243" s="48"/>
      <c r="C1243" s="49" t="s">
        <v>187</v>
      </c>
      <c r="D1243" s="49" t="s">
        <v>131</v>
      </c>
      <c r="E1243" s="49" t="s">
        <v>132</v>
      </c>
      <c r="F1243" s="51"/>
      <c r="G1243" s="71">
        <f>SUM(G1244:G1246)</f>
        <v>0</v>
      </c>
      <c r="H1243" s="52">
        <f>SUM(H1244:H1246)</f>
        <v>0</v>
      </c>
      <c r="I1243" s="52">
        <f>SUM(I1244:I1246)</f>
        <v>0</v>
      </c>
      <c r="J1243" s="71">
        <f>SUM(J1244:J1246)</f>
        <v>0</v>
      </c>
      <c r="K1243" s="173">
        <f>SUM(K1244:K1246)</f>
        <v>0</v>
      </c>
      <c r="L1243" s="187"/>
      <c r="M1243" s="52"/>
      <c r="N1243" s="71"/>
      <c r="O1243" s="71"/>
      <c r="P1243" s="370"/>
      <c r="Q1243" s="371"/>
    </row>
    <row r="1244" spans="1:17" ht="10.5" customHeight="1" hidden="1">
      <c r="A1244" s="270" t="s">
        <v>143</v>
      </c>
      <c r="B1244" s="48"/>
      <c r="C1244" s="49" t="s">
        <v>187</v>
      </c>
      <c r="D1244" s="49" t="s">
        <v>131</v>
      </c>
      <c r="E1244" s="49" t="s">
        <v>132</v>
      </c>
      <c r="F1244" s="51"/>
      <c r="G1244" s="71"/>
      <c r="H1244" s="52"/>
      <c r="I1244" s="52"/>
      <c r="J1244" s="71"/>
      <c r="K1244" s="173"/>
      <c r="L1244" s="187"/>
      <c r="M1244" s="52"/>
      <c r="N1244" s="71"/>
      <c r="O1244" s="71"/>
      <c r="P1244" s="370"/>
      <c r="Q1244" s="371"/>
    </row>
    <row r="1245" spans="1:17" ht="10.5" customHeight="1" hidden="1">
      <c r="A1245" s="270" t="s">
        <v>144</v>
      </c>
      <c r="B1245" s="48"/>
      <c r="C1245" s="49" t="s">
        <v>187</v>
      </c>
      <c r="D1245" s="49" t="s">
        <v>131</v>
      </c>
      <c r="E1245" s="49" t="s">
        <v>132</v>
      </c>
      <c r="F1245" s="51"/>
      <c r="G1245" s="71"/>
      <c r="H1245" s="52"/>
      <c r="I1245" s="52"/>
      <c r="J1245" s="71"/>
      <c r="K1245" s="173"/>
      <c r="L1245" s="187"/>
      <c r="M1245" s="52"/>
      <c r="N1245" s="71"/>
      <c r="O1245" s="71"/>
      <c r="P1245" s="370"/>
      <c r="Q1245" s="371"/>
    </row>
    <row r="1246" spans="1:17" ht="10.5" customHeight="1" hidden="1">
      <c r="A1246" s="270" t="s">
        <v>145</v>
      </c>
      <c r="B1246" s="48"/>
      <c r="C1246" s="49" t="s">
        <v>187</v>
      </c>
      <c r="D1246" s="49" t="s">
        <v>131</v>
      </c>
      <c r="E1246" s="49" t="s">
        <v>132</v>
      </c>
      <c r="F1246" s="51"/>
      <c r="G1246" s="71"/>
      <c r="H1246" s="52"/>
      <c r="I1246" s="52"/>
      <c r="J1246" s="71"/>
      <c r="K1246" s="173"/>
      <c r="L1246" s="187"/>
      <c r="M1246" s="52"/>
      <c r="N1246" s="71"/>
      <c r="O1246" s="71"/>
      <c r="P1246" s="370"/>
      <c r="Q1246" s="371"/>
    </row>
    <row r="1247" spans="1:17" ht="10.5" customHeight="1" hidden="1">
      <c r="A1247" s="270" t="s">
        <v>153</v>
      </c>
      <c r="B1247" s="48"/>
      <c r="C1247" s="49" t="s">
        <v>187</v>
      </c>
      <c r="D1247" s="49" t="s">
        <v>131</v>
      </c>
      <c r="E1247" s="49" t="s">
        <v>132</v>
      </c>
      <c r="F1247" s="51"/>
      <c r="G1247" s="71">
        <f>SUM(G1248:G1253)</f>
        <v>0</v>
      </c>
      <c r="H1247" s="52">
        <f>SUM(H1248:H1253)</f>
        <v>0</v>
      </c>
      <c r="I1247" s="52">
        <f>SUM(I1248:I1253)</f>
        <v>0</v>
      </c>
      <c r="J1247" s="71">
        <f>SUM(J1248:J1253)</f>
        <v>0</v>
      </c>
      <c r="K1247" s="173">
        <f>SUM(K1248:K1253)</f>
        <v>0</v>
      </c>
      <c r="L1247" s="187"/>
      <c r="M1247" s="52"/>
      <c r="N1247" s="71"/>
      <c r="O1247" s="71"/>
      <c r="P1247" s="370"/>
      <c r="Q1247" s="371"/>
    </row>
    <row r="1248" spans="1:17" ht="14.25" customHeight="1" hidden="1">
      <c r="A1248" s="270" t="s">
        <v>154</v>
      </c>
      <c r="B1248" s="48"/>
      <c r="C1248" s="49" t="s">
        <v>187</v>
      </c>
      <c r="D1248" s="49" t="s">
        <v>131</v>
      </c>
      <c r="E1248" s="49" t="s">
        <v>132</v>
      </c>
      <c r="F1248" s="51"/>
      <c r="G1248" s="71"/>
      <c r="H1248" s="52"/>
      <c r="I1248" s="52"/>
      <c r="J1248" s="71"/>
      <c r="K1248" s="173"/>
      <c r="L1248" s="187"/>
      <c r="M1248" s="52"/>
      <c r="N1248" s="71"/>
      <c r="O1248" s="71"/>
      <c r="P1248" s="370"/>
      <c r="Q1248" s="371"/>
    </row>
    <row r="1249" spans="1:17" ht="12.75" hidden="1">
      <c r="A1249" s="270" t="s">
        <v>155</v>
      </c>
      <c r="B1249" s="48"/>
      <c r="C1249" s="49" t="s">
        <v>187</v>
      </c>
      <c r="D1249" s="49" t="s">
        <v>131</v>
      </c>
      <c r="E1249" s="49" t="s">
        <v>132</v>
      </c>
      <c r="F1249" s="51"/>
      <c r="G1249" s="71">
        <f>G1206</f>
        <v>0</v>
      </c>
      <c r="H1249" s="52">
        <f>H1206</f>
        <v>0</v>
      </c>
      <c r="I1249" s="52">
        <f>I1206</f>
        <v>0</v>
      </c>
      <c r="J1249" s="71">
        <f>J1206</f>
        <v>0</v>
      </c>
      <c r="K1249" s="173">
        <f>K1206</f>
        <v>0</v>
      </c>
      <c r="L1249" s="187"/>
      <c r="M1249" s="52"/>
      <c r="N1249" s="71"/>
      <c r="O1249" s="71"/>
      <c r="P1249" s="370"/>
      <c r="Q1249" s="371"/>
    </row>
    <row r="1250" spans="1:17" ht="12.75" hidden="1">
      <c r="A1250" s="270" t="s">
        <v>173</v>
      </c>
      <c r="B1250" s="48"/>
      <c r="C1250" s="49" t="s">
        <v>187</v>
      </c>
      <c r="D1250" s="49" t="s">
        <v>131</v>
      </c>
      <c r="E1250" s="49" t="s">
        <v>132</v>
      </c>
      <c r="F1250" s="51"/>
      <c r="G1250" s="71"/>
      <c r="H1250" s="52"/>
      <c r="I1250" s="52"/>
      <c r="J1250" s="71"/>
      <c r="K1250" s="173"/>
      <c r="L1250" s="187"/>
      <c r="M1250" s="52"/>
      <c r="N1250" s="71"/>
      <c r="O1250" s="71"/>
      <c r="P1250" s="370"/>
      <c r="Q1250" s="371"/>
    </row>
    <row r="1251" spans="1:17" ht="12.75" hidden="1">
      <c r="A1251" s="270" t="s">
        <v>174</v>
      </c>
      <c r="B1251" s="48"/>
      <c r="C1251" s="49" t="s">
        <v>187</v>
      </c>
      <c r="D1251" s="49" t="s">
        <v>131</v>
      </c>
      <c r="E1251" s="49" t="s">
        <v>132</v>
      </c>
      <c r="F1251" s="51"/>
      <c r="G1251" s="71"/>
      <c r="H1251" s="52"/>
      <c r="I1251" s="52"/>
      <c r="J1251" s="71"/>
      <c r="K1251" s="173"/>
      <c r="L1251" s="187"/>
      <c r="M1251" s="52"/>
      <c r="N1251" s="71"/>
      <c r="O1251" s="71"/>
      <c r="P1251" s="370"/>
      <c r="Q1251" s="371"/>
    </row>
    <row r="1252" spans="1:17" ht="12.75" hidden="1">
      <c r="A1252" s="270" t="s">
        <v>156</v>
      </c>
      <c r="B1252" s="48"/>
      <c r="C1252" s="49" t="s">
        <v>187</v>
      </c>
      <c r="D1252" s="49" t="s">
        <v>131</v>
      </c>
      <c r="E1252" s="49" t="s">
        <v>132</v>
      </c>
      <c r="F1252" s="51"/>
      <c r="G1252" s="71"/>
      <c r="H1252" s="52"/>
      <c r="I1252" s="52"/>
      <c r="J1252" s="71"/>
      <c r="K1252" s="173"/>
      <c r="L1252" s="187"/>
      <c r="M1252" s="52"/>
      <c r="N1252" s="71"/>
      <c r="O1252" s="71"/>
      <c r="P1252" s="370"/>
      <c r="Q1252" s="371"/>
    </row>
    <row r="1253" spans="1:17" ht="12.75" hidden="1">
      <c r="A1253" s="270" t="s">
        <v>157</v>
      </c>
      <c r="B1253" s="48"/>
      <c r="C1253" s="49" t="s">
        <v>187</v>
      </c>
      <c r="D1253" s="49" t="s">
        <v>131</v>
      </c>
      <c r="E1253" s="49" t="s">
        <v>132</v>
      </c>
      <c r="F1253" s="51"/>
      <c r="G1253" s="71">
        <f>G1207</f>
        <v>0</v>
      </c>
      <c r="H1253" s="52">
        <f>H1207</f>
        <v>0</v>
      </c>
      <c r="I1253" s="52">
        <f>I1207</f>
        <v>0</v>
      </c>
      <c r="J1253" s="71">
        <f>J1207</f>
        <v>0</v>
      </c>
      <c r="K1253" s="173">
        <f>K1207</f>
        <v>0</v>
      </c>
      <c r="L1253" s="187"/>
      <c r="M1253" s="52"/>
      <c r="N1253" s="71"/>
      <c r="O1253" s="71"/>
      <c r="P1253" s="370"/>
      <c r="Q1253" s="371"/>
    </row>
    <row r="1254" spans="1:17" ht="12.75" hidden="1">
      <c r="A1254" s="288" t="s">
        <v>319</v>
      </c>
      <c r="B1254" s="48"/>
      <c r="C1254" s="49" t="s">
        <v>187</v>
      </c>
      <c r="D1254" s="49" t="s">
        <v>131</v>
      </c>
      <c r="E1254" s="49" t="s">
        <v>132</v>
      </c>
      <c r="F1254" s="51"/>
      <c r="G1254" s="71"/>
      <c r="H1254" s="52"/>
      <c r="I1254" s="52"/>
      <c r="J1254" s="71"/>
      <c r="K1254" s="173"/>
      <c r="L1254" s="187"/>
      <c r="M1254" s="52"/>
      <c r="N1254" s="71"/>
      <c r="O1254" s="71"/>
      <c r="P1254" s="370"/>
      <c r="Q1254" s="371"/>
    </row>
    <row r="1255" spans="1:17" ht="0.75" customHeight="1" hidden="1">
      <c r="A1255" s="270" t="s">
        <v>320</v>
      </c>
      <c r="B1255" s="48"/>
      <c r="C1255" s="49" t="s">
        <v>187</v>
      </c>
      <c r="D1255" s="49" t="s">
        <v>131</v>
      </c>
      <c r="E1255" s="49" t="s">
        <v>132</v>
      </c>
      <c r="F1255" s="51"/>
      <c r="G1255" s="71"/>
      <c r="H1255" s="52"/>
      <c r="I1255" s="52"/>
      <c r="J1255" s="71"/>
      <c r="K1255" s="173"/>
      <c r="L1255" s="187"/>
      <c r="M1255" s="52"/>
      <c r="N1255" s="71"/>
      <c r="O1255" s="71"/>
      <c r="P1255" s="370"/>
      <c r="Q1255" s="371"/>
    </row>
    <row r="1256" spans="1:17" ht="25.5" hidden="1">
      <c r="A1256" s="270" t="s">
        <v>7</v>
      </c>
      <c r="B1256" s="48"/>
      <c r="C1256" s="49" t="s">
        <v>187</v>
      </c>
      <c r="D1256" s="49" t="s">
        <v>131</v>
      </c>
      <c r="E1256" s="49" t="s">
        <v>132</v>
      </c>
      <c r="F1256" s="51"/>
      <c r="G1256" s="71"/>
      <c r="H1256" s="52"/>
      <c r="I1256" s="52"/>
      <c r="J1256" s="71"/>
      <c r="K1256" s="173"/>
      <c r="L1256" s="187"/>
      <c r="M1256" s="52"/>
      <c r="N1256" s="71"/>
      <c r="O1256" s="71"/>
      <c r="P1256" s="370"/>
      <c r="Q1256" s="371"/>
    </row>
    <row r="1257" spans="1:17" ht="12.75" hidden="1">
      <c r="A1257" s="270" t="s">
        <v>158</v>
      </c>
      <c r="B1257" s="48"/>
      <c r="C1257" s="49" t="s">
        <v>187</v>
      </c>
      <c r="D1257" s="49" t="s">
        <v>131</v>
      </c>
      <c r="E1257" s="49" t="s">
        <v>132</v>
      </c>
      <c r="F1257" s="51"/>
      <c r="G1257" s="71">
        <f>G1208</f>
        <v>0</v>
      </c>
      <c r="H1257" s="52">
        <f>H1208</f>
        <v>0</v>
      </c>
      <c r="I1257" s="52">
        <f>I1208</f>
        <v>0</v>
      </c>
      <c r="J1257" s="71">
        <f>J1208</f>
        <v>0</v>
      </c>
      <c r="K1257" s="173">
        <f>K1208</f>
        <v>0</v>
      </c>
      <c r="L1257" s="187"/>
      <c r="M1257" s="52"/>
      <c r="N1257" s="71"/>
      <c r="O1257" s="71"/>
      <c r="P1257" s="370"/>
      <c r="Q1257" s="371"/>
    </row>
    <row r="1258" spans="1:17" ht="12.75" customHeight="1" hidden="1">
      <c r="A1258" s="270" t="s">
        <v>159</v>
      </c>
      <c r="B1258" s="48"/>
      <c r="C1258" s="49" t="s">
        <v>187</v>
      </c>
      <c r="D1258" s="49" t="s">
        <v>131</v>
      </c>
      <c r="E1258" s="49" t="s">
        <v>132</v>
      </c>
      <c r="F1258" s="51"/>
      <c r="G1258" s="71">
        <f>SUM(G1259:G1260)</f>
        <v>0</v>
      </c>
      <c r="H1258" s="52">
        <f>SUM(H1259:H1260)</f>
        <v>0</v>
      </c>
      <c r="I1258" s="52">
        <f>SUM(I1259:I1260)</f>
        <v>0</v>
      </c>
      <c r="J1258" s="71">
        <f>SUM(J1259:J1260)</f>
        <v>0</v>
      </c>
      <c r="K1258" s="173">
        <f>SUM(K1259:K1260)</f>
        <v>0</v>
      </c>
      <c r="L1258" s="187"/>
      <c r="M1258" s="52"/>
      <c r="N1258" s="71"/>
      <c r="O1258" s="71"/>
      <c r="P1258" s="370"/>
      <c r="Q1258" s="371"/>
    </row>
    <row r="1259" spans="1:17" ht="12.75" hidden="1">
      <c r="A1259" s="270" t="s">
        <v>160</v>
      </c>
      <c r="B1259" s="48"/>
      <c r="C1259" s="49" t="s">
        <v>187</v>
      </c>
      <c r="D1259" s="49" t="s">
        <v>131</v>
      </c>
      <c r="E1259" s="49" t="s">
        <v>132</v>
      </c>
      <c r="F1259" s="51"/>
      <c r="G1259" s="71"/>
      <c r="H1259" s="52"/>
      <c r="I1259" s="52"/>
      <c r="J1259" s="71"/>
      <c r="K1259" s="173"/>
      <c r="L1259" s="187"/>
      <c r="M1259" s="52"/>
      <c r="N1259" s="71"/>
      <c r="O1259" s="71"/>
      <c r="P1259" s="370"/>
      <c r="Q1259" s="371"/>
    </row>
    <row r="1260" spans="1:17" ht="0.75" customHeight="1" hidden="1">
      <c r="A1260" s="270" t="s">
        <v>161</v>
      </c>
      <c r="B1260" s="48"/>
      <c r="C1260" s="49" t="s">
        <v>187</v>
      </c>
      <c r="D1260" s="49" t="s">
        <v>131</v>
      </c>
      <c r="E1260" s="49" t="s">
        <v>132</v>
      </c>
      <c r="F1260" s="51"/>
      <c r="G1260" s="71">
        <f>G1211</f>
        <v>0</v>
      </c>
      <c r="H1260" s="52">
        <f>H1211</f>
        <v>0</v>
      </c>
      <c r="I1260" s="52">
        <f>I1211</f>
        <v>0</v>
      </c>
      <c r="J1260" s="71">
        <f>J1211</f>
        <v>0</v>
      </c>
      <c r="K1260" s="173">
        <f>K1211</f>
        <v>0</v>
      </c>
      <c r="L1260" s="187"/>
      <c r="M1260" s="52"/>
      <c r="N1260" s="71"/>
      <c r="O1260" s="71"/>
      <c r="P1260" s="370"/>
      <c r="Q1260" s="371"/>
    </row>
    <row r="1261" spans="1:17" ht="12.75" hidden="1">
      <c r="A1261" s="281" t="s">
        <v>217</v>
      </c>
      <c r="B1261" s="66"/>
      <c r="C1261" s="92"/>
      <c r="D1261" s="92"/>
      <c r="E1261" s="92"/>
      <c r="F1261" s="94"/>
      <c r="G1261" s="71">
        <f>G1249+G1253+G1257+G1260</f>
        <v>0</v>
      </c>
      <c r="H1261" s="52">
        <f>H1249+H1253+H1257+H1260</f>
        <v>0</v>
      </c>
      <c r="I1261" s="52">
        <f>I1249+I1253+I1257+I1260</f>
        <v>0</v>
      </c>
      <c r="J1261" s="71">
        <f>J1249+J1253+J1257+J1260</f>
        <v>0</v>
      </c>
      <c r="K1261" s="173">
        <f>K1249+K1253+K1257+K1260</f>
        <v>0</v>
      </c>
      <c r="L1261" s="187"/>
      <c r="M1261" s="52"/>
      <c r="N1261" s="71"/>
      <c r="O1261" s="71"/>
      <c r="P1261" s="370"/>
      <c r="Q1261" s="371"/>
    </row>
    <row r="1262" spans="1:17" ht="12.75" hidden="1">
      <c r="A1262" s="272"/>
      <c r="B1262" s="26"/>
      <c r="C1262" s="27"/>
      <c r="D1262" s="27"/>
      <c r="E1262" s="27"/>
      <c r="F1262" s="58"/>
      <c r="G1262" s="65"/>
      <c r="H1262" s="59"/>
      <c r="I1262" s="59"/>
      <c r="J1262" s="65"/>
      <c r="K1262" s="164"/>
      <c r="L1262" s="189"/>
      <c r="M1262" s="59"/>
      <c r="N1262" s="65"/>
      <c r="O1262" s="65"/>
      <c r="P1262" s="374"/>
      <c r="Q1262" s="375"/>
    </row>
    <row r="1263" spans="1:17" ht="12.75" hidden="1">
      <c r="A1263" s="270"/>
      <c r="B1263" s="48"/>
      <c r="C1263" s="49"/>
      <c r="D1263" s="49"/>
      <c r="E1263" s="49"/>
      <c r="F1263" s="55"/>
      <c r="G1263" s="65"/>
      <c r="H1263" s="59"/>
      <c r="I1263" s="59"/>
      <c r="J1263" s="65"/>
      <c r="K1263" s="164"/>
      <c r="L1263" s="189"/>
      <c r="M1263" s="59"/>
      <c r="N1263" s="65"/>
      <c r="O1263" s="65"/>
      <c r="P1263" s="374"/>
      <c r="Q1263" s="375"/>
    </row>
    <row r="1264" spans="1:17" ht="12.75" hidden="1">
      <c r="A1264" s="272"/>
      <c r="B1264" s="26"/>
      <c r="C1264" s="27"/>
      <c r="D1264" s="27"/>
      <c r="E1264" s="27"/>
      <c r="F1264" s="58"/>
      <c r="G1264" s="65"/>
      <c r="H1264" s="59"/>
      <c r="I1264" s="59"/>
      <c r="J1264" s="65"/>
      <c r="K1264" s="164"/>
      <c r="L1264" s="189"/>
      <c r="M1264" s="59"/>
      <c r="N1264" s="65"/>
      <c r="O1264" s="65"/>
      <c r="P1264" s="374"/>
      <c r="Q1264" s="375"/>
    </row>
    <row r="1265" spans="1:17" ht="12.75" hidden="1">
      <c r="A1265" s="270"/>
      <c r="B1265" s="48"/>
      <c r="C1265" s="49"/>
      <c r="D1265" s="49"/>
      <c r="E1265" s="49"/>
      <c r="F1265" s="55"/>
      <c r="G1265" s="65"/>
      <c r="H1265" s="59"/>
      <c r="I1265" s="59"/>
      <c r="J1265" s="65"/>
      <c r="K1265" s="164"/>
      <c r="L1265" s="189"/>
      <c r="M1265" s="59"/>
      <c r="N1265" s="65"/>
      <c r="O1265" s="65"/>
      <c r="P1265" s="374"/>
      <c r="Q1265" s="375"/>
    </row>
    <row r="1266" spans="1:17" ht="13.5" hidden="1" thickBot="1">
      <c r="A1266" s="273"/>
      <c r="B1266" s="35"/>
      <c r="C1266" s="36"/>
      <c r="D1266" s="36"/>
      <c r="E1266" s="36"/>
      <c r="F1266" s="62"/>
      <c r="G1266" s="70"/>
      <c r="H1266" s="63"/>
      <c r="I1266" s="63"/>
      <c r="J1266" s="70"/>
      <c r="K1266" s="177"/>
      <c r="L1266" s="189"/>
      <c r="M1266" s="59"/>
      <c r="N1266" s="65"/>
      <c r="O1266" s="65"/>
      <c r="P1266" s="374"/>
      <c r="Q1266" s="375"/>
    </row>
    <row r="1267" spans="1:17" ht="25.5" hidden="1">
      <c r="A1267" s="270" t="s">
        <v>115</v>
      </c>
      <c r="B1267" s="43"/>
      <c r="C1267" s="44" t="s">
        <v>187</v>
      </c>
      <c r="D1267" s="44" t="s">
        <v>130</v>
      </c>
      <c r="E1267" s="44" t="s">
        <v>53</v>
      </c>
      <c r="F1267" s="46"/>
      <c r="G1267" s="353">
        <f>G1268+G1269</f>
        <v>656.5</v>
      </c>
      <c r="H1267" s="353" t="e">
        <f>H1268+H1269</f>
        <v>#REF!</v>
      </c>
      <c r="I1267" s="353" t="e">
        <f>I1268+I1269</f>
        <v>#REF!</v>
      </c>
      <c r="J1267" s="353">
        <f>J1268+J1269</f>
        <v>334</v>
      </c>
      <c r="K1267" s="354">
        <f>K1268+K1269</f>
        <v>990.5</v>
      </c>
      <c r="L1267" s="189"/>
      <c r="M1267" s="59"/>
      <c r="N1267" s="65"/>
      <c r="O1267" s="65"/>
      <c r="P1267" s="374"/>
      <c r="Q1267" s="375"/>
    </row>
    <row r="1268" spans="1:17" ht="16.5" customHeight="1">
      <c r="A1268" s="277" t="s">
        <v>80</v>
      </c>
      <c r="B1268" s="99" t="s">
        <v>134</v>
      </c>
      <c r="C1268" s="53" t="s">
        <v>187</v>
      </c>
      <c r="D1268" s="53" t="s">
        <v>130</v>
      </c>
      <c r="E1268" s="53" t="s">
        <v>473</v>
      </c>
      <c r="F1268" s="55" t="s">
        <v>77</v>
      </c>
      <c r="G1268" s="250">
        <v>656.5</v>
      </c>
      <c r="H1268" s="250" t="e">
        <f>#REF!</f>
        <v>#REF!</v>
      </c>
      <c r="I1268" s="250" t="e">
        <f>#REF!</f>
        <v>#REF!</v>
      </c>
      <c r="J1268" s="250">
        <v>-50.2</v>
      </c>
      <c r="K1268" s="164">
        <v>606.3</v>
      </c>
      <c r="L1268" s="189">
        <v>-15</v>
      </c>
      <c r="M1268" s="59"/>
      <c r="N1268" s="65"/>
      <c r="O1268" s="65">
        <v>644.6</v>
      </c>
      <c r="P1268" s="374">
        <v>686.3</v>
      </c>
      <c r="Q1268" s="375">
        <v>727.2</v>
      </c>
    </row>
    <row r="1269" spans="1:17" ht="16.5" customHeight="1" thickBot="1">
      <c r="A1269" s="271" t="s">
        <v>90</v>
      </c>
      <c r="B1269" s="355" t="s">
        <v>226</v>
      </c>
      <c r="C1269" s="60" t="s">
        <v>187</v>
      </c>
      <c r="D1269" s="60" t="s">
        <v>130</v>
      </c>
      <c r="E1269" s="60" t="s">
        <v>473</v>
      </c>
      <c r="F1269" s="62" t="s">
        <v>83</v>
      </c>
      <c r="G1269" s="163"/>
      <c r="H1269" s="163"/>
      <c r="I1269" s="137"/>
      <c r="J1269" s="163">
        <f>252.5+131.7</f>
        <v>384.2</v>
      </c>
      <c r="K1269" s="164">
        <v>384.2</v>
      </c>
      <c r="L1269" s="189"/>
      <c r="M1269" s="59"/>
      <c r="N1269" s="65"/>
      <c r="O1269" s="65">
        <v>410.8</v>
      </c>
      <c r="P1269" s="374">
        <v>449</v>
      </c>
      <c r="Q1269" s="375">
        <v>486.4</v>
      </c>
    </row>
    <row r="1270" spans="1:17" ht="32.25" thickBot="1">
      <c r="A1270" s="359" t="s">
        <v>596</v>
      </c>
      <c r="B1270" s="118" t="s">
        <v>185</v>
      </c>
      <c r="C1270" s="119" t="s">
        <v>193</v>
      </c>
      <c r="D1270" s="119" t="s">
        <v>55</v>
      </c>
      <c r="E1270" s="119"/>
      <c r="F1270" s="121"/>
      <c r="G1270" s="163"/>
      <c r="H1270" s="163"/>
      <c r="I1270" s="137"/>
      <c r="J1270" s="163"/>
      <c r="K1270" s="111"/>
      <c r="L1270" s="111"/>
      <c r="M1270" s="111"/>
      <c r="N1270" s="111"/>
      <c r="O1270" s="136"/>
      <c r="P1270" s="413">
        <f aca="true" t="shared" si="211" ref="P1270:Q1273">P1271</f>
        <v>650</v>
      </c>
      <c r="Q1270" s="365">
        <f t="shared" si="211"/>
        <v>700</v>
      </c>
    </row>
    <row r="1271" spans="1:17" ht="16.5" customHeight="1" thickBot="1">
      <c r="A1271" s="360" t="s">
        <v>597</v>
      </c>
      <c r="B1271" s="21" t="s">
        <v>185</v>
      </c>
      <c r="C1271" s="22" t="s">
        <v>193</v>
      </c>
      <c r="D1271" s="22" t="s">
        <v>130</v>
      </c>
      <c r="E1271" s="22"/>
      <c r="F1271" s="24"/>
      <c r="G1271" s="163"/>
      <c r="H1271" s="163"/>
      <c r="I1271" s="137"/>
      <c r="J1271" s="163"/>
      <c r="K1271" s="111"/>
      <c r="L1271" s="111"/>
      <c r="M1271" s="111"/>
      <c r="N1271" s="111"/>
      <c r="O1271" s="136"/>
      <c r="P1271" s="414">
        <f t="shared" si="211"/>
        <v>650</v>
      </c>
      <c r="Q1271" s="379">
        <f t="shared" si="211"/>
        <v>700</v>
      </c>
    </row>
    <row r="1272" spans="1:17" ht="16.5" customHeight="1" thickBot="1">
      <c r="A1272" s="361" t="s">
        <v>598</v>
      </c>
      <c r="B1272" s="43" t="s">
        <v>185</v>
      </c>
      <c r="C1272" s="44" t="s">
        <v>193</v>
      </c>
      <c r="D1272" s="44" t="s">
        <v>130</v>
      </c>
      <c r="E1272" s="44" t="s">
        <v>599</v>
      </c>
      <c r="F1272" s="342"/>
      <c r="G1272" s="163"/>
      <c r="H1272" s="163"/>
      <c r="I1272" s="137"/>
      <c r="J1272" s="163"/>
      <c r="K1272" s="111"/>
      <c r="L1272" s="111"/>
      <c r="M1272" s="111"/>
      <c r="N1272" s="111"/>
      <c r="O1272" s="136"/>
      <c r="P1272" s="415">
        <f t="shared" si="211"/>
        <v>650</v>
      </c>
      <c r="Q1272" s="369">
        <f t="shared" si="211"/>
        <v>700</v>
      </c>
    </row>
    <row r="1273" spans="1:17" ht="26.25" thickBot="1">
      <c r="A1273" s="362" t="s">
        <v>600</v>
      </c>
      <c r="B1273" s="73" t="s">
        <v>185</v>
      </c>
      <c r="C1273" s="81" t="s">
        <v>193</v>
      </c>
      <c r="D1273" s="81" t="s">
        <v>130</v>
      </c>
      <c r="E1273" s="81" t="s">
        <v>601</v>
      </c>
      <c r="F1273" s="75"/>
      <c r="G1273" s="163"/>
      <c r="H1273" s="163"/>
      <c r="I1273" s="137"/>
      <c r="J1273" s="163"/>
      <c r="K1273" s="111"/>
      <c r="L1273" s="111"/>
      <c r="M1273" s="111"/>
      <c r="N1273" s="111"/>
      <c r="O1273" s="136"/>
      <c r="P1273" s="416">
        <f t="shared" si="211"/>
        <v>650</v>
      </c>
      <c r="Q1273" s="381">
        <f t="shared" si="211"/>
        <v>700</v>
      </c>
    </row>
    <row r="1274" spans="1:17" ht="26.25" thickBot="1">
      <c r="A1274" s="363" t="s">
        <v>602</v>
      </c>
      <c r="B1274" s="48" t="s">
        <v>185</v>
      </c>
      <c r="C1274" s="53" t="s">
        <v>193</v>
      </c>
      <c r="D1274" s="53" t="s">
        <v>130</v>
      </c>
      <c r="E1274" s="53" t="s">
        <v>601</v>
      </c>
      <c r="F1274" s="55" t="s">
        <v>603</v>
      </c>
      <c r="G1274" s="163"/>
      <c r="H1274" s="163"/>
      <c r="I1274" s="137"/>
      <c r="J1274" s="163"/>
      <c r="K1274" s="111"/>
      <c r="L1274" s="111"/>
      <c r="M1274" s="111"/>
      <c r="N1274" s="111"/>
      <c r="O1274" s="136"/>
      <c r="P1274" s="417">
        <v>650</v>
      </c>
      <c r="Q1274" s="377">
        <v>700</v>
      </c>
    </row>
    <row r="1275" spans="1:17" ht="48.75" customHeight="1" thickBot="1">
      <c r="A1275" s="267" t="s">
        <v>114</v>
      </c>
      <c r="B1275" s="118" t="s">
        <v>185</v>
      </c>
      <c r="C1275" s="119" t="s">
        <v>229</v>
      </c>
      <c r="D1275" s="119" t="s">
        <v>55</v>
      </c>
      <c r="E1275" s="119"/>
      <c r="F1275" s="121"/>
      <c r="G1275" s="129" t="e">
        <f aca="true" t="shared" si="212" ref="G1275:M1275">G1276+G1292</f>
        <v>#REF!</v>
      </c>
      <c r="H1275" s="129" t="e">
        <f t="shared" si="212"/>
        <v>#REF!</v>
      </c>
      <c r="I1275" s="129" t="e">
        <f t="shared" si="212"/>
        <v>#REF!</v>
      </c>
      <c r="J1275" s="129" t="e">
        <f t="shared" si="212"/>
        <v>#REF!</v>
      </c>
      <c r="K1275" s="170" t="e">
        <f>K1276+K1292</f>
        <v>#REF!</v>
      </c>
      <c r="L1275" s="170" t="e">
        <f>L1276+L1292</f>
        <v>#REF!</v>
      </c>
      <c r="M1275" s="170" t="e">
        <f t="shared" si="212"/>
        <v>#REF!</v>
      </c>
      <c r="N1275" s="170">
        <f>N1276+N1292</f>
        <v>0</v>
      </c>
      <c r="O1275" s="129">
        <f>O1276</f>
        <v>19014.17</v>
      </c>
      <c r="P1275" s="364">
        <f>P1276</f>
        <v>20198</v>
      </c>
      <c r="Q1275" s="365">
        <f>Q1276</f>
        <v>21408</v>
      </c>
    </row>
    <row r="1276" spans="1:17" ht="26.25" thickBot="1">
      <c r="A1276" s="274" t="s">
        <v>56</v>
      </c>
      <c r="B1276" s="21" t="s">
        <v>185</v>
      </c>
      <c r="C1276" s="22" t="s">
        <v>229</v>
      </c>
      <c r="D1276" s="22" t="s">
        <v>130</v>
      </c>
      <c r="E1276" s="22"/>
      <c r="F1276" s="24"/>
      <c r="G1276" s="132">
        <f aca="true" t="shared" si="213" ref="G1276:Q1278">G1277</f>
        <v>9000</v>
      </c>
      <c r="H1276" s="25">
        <f t="shared" si="213"/>
        <v>6706</v>
      </c>
      <c r="I1276" s="25">
        <f t="shared" si="213"/>
        <v>6025</v>
      </c>
      <c r="J1276" s="132">
        <f t="shared" si="213"/>
        <v>0</v>
      </c>
      <c r="K1276" s="175">
        <f t="shared" si="213"/>
        <v>9000</v>
      </c>
      <c r="L1276" s="175">
        <f t="shared" si="213"/>
        <v>0</v>
      </c>
      <c r="M1276" s="175">
        <f t="shared" si="213"/>
        <v>5100</v>
      </c>
      <c r="N1276" s="175">
        <f t="shared" si="213"/>
        <v>0</v>
      </c>
      <c r="O1276" s="132">
        <f>O1278</f>
        <v>19014.17</v>
      </c>
      <c r="P1276" s="378">
        <f>P1278</f>
        <v>20198</v>
      </c>
      <c r="Q1276" s="379">
        <f>Q1278</f>
        <v>21408</v>
      </c>
    </row>
    <row r="1277" spans="1:17" ht="16.5" customHeight="1" hidden="1" thickBot="1">
      <c r="A1277" s="291" t="s">
        <v>57</v>
      </c>
      <c r="B1277" s="29" t="s">
        <v>185</v>
      </c>
      <c r="C1277" s="30" t="s">
        <v>229</v>
      </c>
      <c r="D1277" s="30" t="s">
        <v>130</v>
      </c>
      <c r="E1277" s="30" t="s">
        <v>58</v>
      </c>
      <c r="F1277" s="32"/>
      <c r="G1277" s="138">
        <f>G1278</f>
        <v>9000</v>
      </c>
      <c r="H1277" s="138">
        <f t="shared" si="213"/>
        <v>6706</v>
      </c>
      <c r="I1277" s="138">
        <f t="shared" si="213"/>
        <v>6025</v>
      </c>
      <c r="J1277" s="138">
        <f t="shared" si="213"/>
        <v>0</v>
      </c>
      <c r="K1277" s="183">
        <f t="shared" si="213"/>
        <v>9000</v>
      </c>
      <c r="L1277" s="183">
        <f t="shared" si="213"/>
        <v>0</v>
      </c>
      <c r="M1277" s="183">
        <f t="shared" si="213"/>
        <v>5100</v>
      </c>
      <c r="N1277" s="183">
        <f t="shared" si="213"/>
        <v>0</v>
      </c>
      <c r="O1277" s="138">
        <f t="shared" si="213"/>
        <v>19014.17</v>
      </c>
      <c r="P1277" s="404">
        <f t="shared" si="213"/>
        <v>20198</v>
      </c>
      <c r="Q1277" s="405">
        <f t="shared" si="213"/>
        <v>21408</v>
      </c>
    </row>
    <row r="1278" spans="1:17" ht="16.5" customHeight="1">
      <c r="A1278" s="269" t="s">
        <v>57</v>
      </c>
      <c r="B1278" s="48" t="s">
        <v>185</v>
      </c>
      <c r="C1278" s="49" t="s">
        <v>229</v>
      </c>
      <c r="D1278" s="49" t="s">
        <v>130</v>
      </c>
      <c r="E1278" s="49" t="s">
        <v>59</v>
      </c>
      <c r="F1278" s="55"/>
      <c r="G1278" s="71">
        <f t="shared" si="213"/>
        <v>9000</v>
      </c>
      <c r="H1278" s="52">
        <f t="shared" si="213"/>
        <v>6706</v>
      </c>
      <c r="I1278" s="52">
        <f t="shared" si="213"/>
        <v>6025</v>
      </c>
      <c r="J1278" s="71">
        <f t="shared" si="213"/>
        <v>0</v>
      </c>
      <c r="K1278" s="173">
        <v>9000</v>
      </c>
      <c r="L1278" s="173">
        <f t="shared" si="213"/>
        <v>0</v>
      </c>
      <c r="M1278" s="173">
        <v>5100</v>
      </c>
      <c r="N1278" s="173"/>
      <c r="O1278" s="71">
        <f>O1279</f>
        <v>19014.17</v>
      </c>
      <c r="P1278" s="370">
        <f t="shared" si="213"/>
        <v>20198</v>
      </c>
      <c r="Q1278" s="371">
        <f t="shared" si="213"/>
        <v>21408</v>
      </c>
    </row>
    <row r="1279" spans="1:17" ht="26.25" thickBot="1">
      <c r="A1279" s="286" t="s">
        <v>512</v>
      </c>
      <c r="B1279" s="48" t="s">
        <v>185</v>
      </c>
      <c r="C1279" s="53" t="s">
        <v>229</v>
      </c>
      <c r="D1279" s="53" t="s">
        <v>130</v>
      </c>
      <c r="E1279" s="53" t="s">
        <v>59</v>
      </c>
      <c r="F1279" s="55" t="s">
        <v>94</v>
      </c>
      <c r="G1279" s="65">
        <f>G1291</f>
        <v>9000</v>
      </c>
      <c r="H1279" s="59">
        <f>H1291</f>
        <v>6706</v>
      </c>
      <c r="I1279" s="59">
        <f>I1291</f>
        <v>6025</v>
      </c>
      <c r="J1279" s="65">
        <f>J1291</f>
        <v>0</v>
      </c>
      <c r="K1279" s="164">
        <f>K1291</f>
        <v>9000</v>
      </c>
      <c r="L1279" s="189"/>
      <c r="M1279" s="59"/>
      <c r="N1279" s="65"/>
      <c r="O1279" s="65">
        <v>19014.17</v>
      </c>
      <c r="P1279" s="374">
        <v>20198</v>
      </c>
      <c r="Q1279" s="375">
        <v>21408</v>
      </c>
    </row>
    <row r="1280" spans="1:17" ht="12.75" hidden="1">
      <c r="A1280" s="270" t="s">
        <v>141</v>
      </c>
      <c r="B1280" s="48" t="s">
        <v>185</v>
      </c>
      <c r="C1280" s="53" t="s">
        <v>229</v>
      </c>
      <c r="D1280" s="49" t="s">
        <v>130</v>
      </c>
      <c r="E1280" s="53" t="s">
        <v>59</v>
      </c>
      <c r="F1280" s="55" t="s">
        <v>60</v>
      </c>
      <c r="G1280" s="71">
        <f aca="true" t="shared" si="214" ref="G1280:K1281">G1281</f>
        <v>0</v>
      </c>
      <c r="H1280" s="52">
        <f t="shared" si="214"/>
        <v>0</v>
      </c>
      <c r="I1280" s="52">
        <f t="shared" si="214"/>
        <v>0</v>
      </c>
      <c r="J1280" s="71">
        <f t="shared" si="214"/>
        <v>0</v>
      </c>
      <c r="K1280" s="173">
        <f t="shared" si="214"/>
        <v>0</v>
      </c>
      <c r="L1280" s="187"/>
      <c r="M1280" s="52"/>
      <c r="N1280" s="71"/>
      <c r="O1280" s="71"/>
      <c r="P1280" s="370"/>
      <c r="Q1280" s="371"/>
    </row>
    <row r="1281" spans="1:17" ht="12.75" hidden="1">
      <c r="A1281" s="270" t="s">
        <v>61</v>
      </c>
      <c r="B1281" s="48" t="s">
        <v>185</v>
      </c>
      <c r="C1281" s="53" t="s">
        <v>229</v>
      </c>
      <c r="D1281" s="49" t="s">
        <v>130</v>
      </c>
      <c r="E1281" s="53" t="s">
        <v>59</v>
      </c>
      <c r="F1281" s="55" t="s">
        <v>60</v>
      </c>
      <c r="G1281" s="71">
        <f t="shared" si="214"/>
        <v>0</v>
      </c>
      <c r="H1281" s="52">
        <f t="shared" si="214"/>
        <v>0</v>
      </c>
      <c r="I1281" s="52">
        <f t="shared" si="214"/>
        <v>0</v>
      </c>
      <c r="J1281" s="71">
        <f t="shared" si="214"/>
        <v>0</v>
      </c>
      <c r="K1281" s="173">
        <f t="shared" si="214"/>
        <v>0</v>
      </c>
      <c r="L1281" s="187"/>
      <c r="M1281" s="52"/>
      <c r="N1281" s="71"/>
      <c r="O1281" s="71"/>
      <c r="P1281" s="370"/>
      <c r="Q1281" s="371"/>
    </row>
    <row r="1282" spans="1:17" ht="25.5" hidden="1">
      <c r="A1282" s="270" t="s">
        <v>62</v>
      </c>
      <c r="B1282" s="48" t="s">
        <v>185</v>
      </c>
      <c r="C1282" s="53" t="s">
        <v>229</v>
      </c>
      <c r="D1282" s="49" t="s">
        <v>130</v>
      </c>
      <c r="E1282" s="53" t="s">
        <v>59</v>
      </c>
      <c r="F1282" s="55" t="s">
        <v>60</v>
      </c>
      <c r="G1282" s="71"/>
      <c r="H1282" s="52"/>
      <c r="I1282" s="52"/>
      <c r="J1282" s="71"/>
      <c r="K1282" s="173"/>
      <c r="L1282" s="187"/>
      <c r="M1282" s="52"/>
      <c r="N1282" s="71"/>
      <c r="O1282" s="71"/>
      <c r="P1282" s="370"/>
      <c r="Q1282" s="371"/>
    </row>
    <row r="1283" spans="1:17" ht="12.75" hidden="1">
      <c r="A1283" s="270" t="s">
        <v>63</v>
      </c>
      <c r="B1283" s="48" t="s">
        <v>185</v>
      </c>
      <c r="C1283" s="53" t="s">
        <v>229</v>
      </c>
      <c r="D1283" s="49" t="s">
        <v>150</v>
      </c>
      <c r="E1283" s="351" t="s">
        <v>64</v>
      </c>
      <c r="F1283" s="51" t="s">
        <v>133</v>
      </c>
      <c r="G1283" s="71">
        <f aca="true" t="shared" si="215" ref="G1283:K1286">G1284</f>
        <v>0</v>
      </c>
      <c r="H1283" s="52">
        <f t="shared" si="215"/>
        <v>0</v>
      </c>
      <c r="I1283" s="52">
        <f t="shared" si="215"/>
        <v>0</v>
      </c>
      <c r="J1283" s="71">
        <f t="shared" si="215"/>
        <v>0</v>
      </c>
      <c r="K1283" s="173">
        <f t="shared" si="215"/>
        <v>0</v>
      </c>
      <c r="L1283" s="187"/>
      <c r="M1283" s="52"/>
      <c r="N1283" s="71"/>
      <c r="O1283" s="71"/>
      <c r="P1283" s="370"/>
      <c r="Q1283" s="371"/>
    </row>
    <row r="1284" spans="1:17" ht="12.75" hidden="1">
      <c r="A1284" s="288" t="s">
        <v>65</v>
      </c>
      <c r="B1284" s="48" t="s">
        <v>185</v>
      </c>
      <c r="C1284" s="53" t="s">
        <v>229</v>
      </c>
      <c r="D1284" s="53" t="s">
        <v>150</v>
      </c>
      <c r="E1284" s="351" t="s">
        <v>298</v>
      </c>
      <c r="F1284" s="51" t="s">
        <v>133</v>
      </c>
      <c r="G1284" s="71">
        <f t="shared" si="215"/>
        <v>0</v>
      </c>
      <c r="H1284" s="52">
        <f t="shared" si="215"/>
        <v>0</v>
      </c>
      <c r="I1284" s="52">
        <f t="shared" si="215"/>
        <v>0</v>
      </c>
      <c r="J1284" s="71">
        <f t="shared" si="215"/>
        <v>0</v>
      </c>
      <c r="K1284" s="173">
        <f t="shared" si="215"/>
        <v>0</v>
      </c>
      <c r="L1284" s="187"/>
      <c r="M1284" s="52"/>
      <c r="N1284" s="71"/>
      <c r="O1284" s="71"/>
      <c r="P1284" s="370"/>
      <c r="Q1284" s="371"/>
    </row>
    <row r="1285" spans="1:17" ht="63.75" hidden="1">
      <c r="A1285" s="288" t="s">
        <v>66</v>
      </c>
      <c r="B1285" s="48" t="s">
        <v>185</v>
      </c>
      <c r="C1285" s="53" t="s">
        <v>229</v>
      </c>
      <c r="D1285" s="53" t="s">
        <v>150</v>
      </c>
      <c r="E1285" s="107" t="s">
        <v>67</v>
      </c>
      <c r="F1285" s="55" t="s">
        <v>133</v>
      </c>
      <c r="G1285" s="71">
        <f t="shared" si="215"/>
        <v>0</v>
      </c>
      <c r="H1285" s="52">
        <f t="shared" si="215"/>
        <v>0</v>
      </c>
      <c r="I1285" s="52">
        <f t="shared" si="215"/>
        <v>0</v>
      </c>
      <c r="J1285" s="71">
        <f t="shared" si="215"/>
        <v>0</v>
      </c>
      <c r="K1285" s="173">
        <f t="shared" si="215"/>
        <v>0</v>
      </c>
      <c r="L1285" s="187"/>
      <c r="M1285" s="52"/>
      <c r="N1285" s="71"/>
      <c r="O1285" s="71"/>
      <c r="P1285" s="370"/>
      <c r="Q1285" s="371"/>
    </row>
    <row r="1286" spans="1:17" ht="12.75" hidden="1">
      <c r="A1286" s="288" t="s">
        <v>360</v>
      </c>
      <c r="B1286" s="48" t="s">
        <v>185</v>
      </c>
      <c r="C1286" s="53" t="s">
        <v>229</v>
      </c>
      <c r="D1286" s="53" t="s">
        <v>150</v>
      </c>
      <c r="E1286" s="107" t="s">
        <v>67</v>
      </c>
      <c r="F1286" s="55" t="s">
        <v>361</v>
      </c>
      <c r="G1286" s="71">
        <f t="shared" si="215"/>
        <v>0</v>
      </c>
      <c r="H1286" s="52">
        <f t="shared" si="215"/>
        <v>0</v>
      </c>
      <c r="I1286" s="52">
        <f t="shared" si="215"/>
        <v>0</v>
      </c>
      <c r="J1286" s="71">
        <f t="shared" si="215"/>
        <v>0</v>
      </c>
      <c r="K1286" s="173">
        <f t="shared" si="215"/>
        <v>0</v>
      </c>
      <c r="L1286" s="187"/>
      <c r="M1286" s="52"/>
      <c r="N1286" s="71"/>
      <c r="O1286" s="71"/>
      <c r="P1286" s="370"/>
      <c r="Q1286" s="371"/>
    </row>
    <row r="1287" spans="1:17" ht="12.75" hidden="1">
      <c r="A1287" s="288" t="s">
        <v>141</v>
      </c>
      <c r="B1287" s="48" t="s">
        <v>185</v>
      </c>
      <c r="C1287" s="53" t="s">
        <v>229</v>
      </c>
      <c r="D1287" s="53" t="s">
        <v>150</v>
      </c>
      <c r="E1287" s="107" t="s">
        <v>67</v>
      </c>
      <c r="F1287" s="55" t="s">
        <v>361</v>
      </c>
      <c r="G1287" s="71">
        <f>G1289</f>
        <v>0</v>
      </c>
      <c r="H1287" s="52">
        <f>H1289</f>
        <v>0</v>
      </c>
      <c r="I1287" s="52">
        <f>I1289</f>
        <v>0</v>
      </c>
      <c r="J1287" s="71">
        <f>J1289</f>
        <v>0</v>
      </c>
      <c r="K1287" s="173">
        <f>K1289</f>
        <v>0</v>
      </c>
      <c r="L1287" s="187"/>
      <c r="M1287" s="52"/>
      <c r="N1287" s="71"/>
      <c r="O1287" s="71"/>
      <c r="P1287" s="370"/>
      <c r="Q1287" s="371"/>
    </row>
    <row r="1288" spans="1:17" ht="12.75" hidden="1">
      <c r="A1288" s="298" t="s">
        <v>342</v>
      </c>
      <c r="B1288" s="48" t="s">
        <v>185</v>
      </c>
      <c r="C1288" s="53" t="s">
        <v>229</v>
      </c>
      <c r="D1288" s="53" t="s">
        <v>150</v>
      </c>
      <c r="E1288" s="107" t="s">
        <v>67</v>
      </c>
      <c r="F1288" s="55" t="s">
        <v>361</v>
      </c>
      <c r="G1288" s="71">
        <f aca="true" t="shared" si="216" ref="G1288:K1289">G1289</f>
        <v>0</v>
      </c>
      <c r="H1288" s="52">
        <f t="shared" si="216"/>
        <v>0</v>
      </c>
      <c r="I1288" s="52">
        <f t="shared" si="216"/>
        <v>0</v>
      </c>
      <c r="J1288" s="71">
        <f t="shared" si="216"/>
        <v>0</v>
      </c>
      <c r="K1288" s="173">
        <f t="shared" si="216"/>
        <v>0</v>
      </c>
      <c r="L1288" s="187"/>
      <c r="M1288" s="52"/>
      <c r="N1288" s="71"/>
      <c r="O1288" s="71"/>
      <c r="P1288" s="370"/>
      <c r="Q1288" s="371"/>
    </row>
    <row r="1289" spans="1:17" ht="12.75" hidden="1">
      <c r="A1289" s="270" t="s">
        <v>61</v>
      </c>
      <c r="B1289" s="48" t="s">
        <v>185</v>
      </c>
      <c r="C1289" s="53" t="s">
        <v>229</v>
      </c>
      <c r="D1289" s="53" t="s">
        <v>150</v>
      </c>
      <c r="E1289" s="352" t="s">
        <v>67</v>
      </c>
      <c r="F1289" s="55" t="s">
        <v>361</v>
      </c>
      <c r="G1289" s="71">
        <f t="shared" si="216"/>
        <v>0</v>
      </c>
      <c r="H1289" s="52">
        <f t="shared" si="216"/>
        <v>0</v>
      </c>
      <c r="I1289" s="52">
        <f t="shared" si="216"/>
        <v>0</v>
      </c>
      <c r="J1289" s="71">
        <f t="shared" si="216"/>
        <v>0</v>
      </c>
      <c r="K1289" s="173">
        <f t="shared" si="216"/>
        <v>0</v>
      </c>
      <c r="L1289" s="187"/>
      <c r="M1289" s="52"/>
      <c r="N1289" s="71"/>
      <c r="O1289" s="71"/>
      <c r="P1289" s="370"/>
      <c r="Q1289" s="371"/>
    </row>
    <row r="1290" spans="1:17" ht="25.5" hidden="1">
      <c r="A1290" s="281" t="s">
        <v>62</v>
      </c>
      <c r="B1290" s="66" t="s">
        <v>185</v>
      </c>
      <c r="C1290" s="67" t="s">
        <v>229</v>
      </c>
      <c r="D1290" s="67" t="s">
        <v>150</v>
      </c>
      <c r="E1290" s="356" t="s">
        <v>67</v>
      </c>
      <c r="F1290" s="69" t="s">
        <v>361</v>
      </c>
      <c r="G1290" s="71"/>
      <c r="H1290" s="52"/>
      <c r="I1290" s="52"/>
      <c r="J1290" s="71"/>
      <c r="K1290" s="173"/>
      <c r="L1290" s="187"/>
      <c r="M1290" s="52"/>
      <c r="N1290" s="71"/>
      <c r="O1290" s="71"/>
      <c r="P1290" s="370"/>
      <c r="Q1290" s="371"/>
    </row>
    <row r="1291" spans="1:17" ht="26.25" hidden="1" thickBot="1">
      <c r="A1291" s="277" t="s">
        <v>99</v>
      </c>
      <c r="B1291" s="99" t="s">
        <v>185</v>
      </c>
      <c r="C1291" s="53" t="s">
        <v>229</v>
      </c>
      <c r="D1291" s="53" t="s">
        <v>130</v>
      </c>
      <c r="E1291" s="53" t="s">
        <v>59</v>
      </c>
      <c r="F1291" s="62" t="s">
        <v>94</v>
      </c>
      <c r="G1291" s="70">
        <v>9000</v>
      </c>
      <c r="H1291" s="63">
        <v>6706</v>
      </c>
      <c r="I1291" s="63">
        <v>6025</v>
      </c>
      <c r="J1291" s="70"/>
      <c r="K1291" s="177">
        <f>G1291+J1291</f>
        <v>9000</v>
      </c>
      <c r="L1291" s="189"/>
      <c r="M1291" s="59"/>
      <c r="N1291" s="65"/>
      <c r="O1291" s="65"/>
      <c r="P1291" s="374"/>
      <c r="Q1291" s="375"/>
    </row>
    <row r="1292" spans="1:17" ht="15" hidden="1" thickBot="1">
      <c r="A1292" s="357" t="s">
        <v>69</v>
      </c>
      <c r="B1292" s="35" t="s">
        <v>185</v>
      </c>
      <c r="C1292" s="36" t="s">
        <v>229</v>
      </c>
      <c r="D1292" s="36" t="s">
        <v>150</v>
      </c>
      <c r="E1292" s="358" t="s">
        <v>64</v>
      </c>
      <c r="F1292" s="345" t="s">
        <v>133</v>
      </c>
      <c r="G1292" s="64" t="e">
        <f>#REF!+#REF!+#REF!</f>
        <v>#REF!</v>
      </c>
      <c r="H1292" s="64" t="e">
        <f>#REF!+#REF!+#REF!</f>
        <v>#REF!</v>
      </c>
      <c r="I1292" s="64" t="e">
        <f>#REF!+#REF!+#REF!</f>
        <v>#REF!</v>
      </c>
      <c r="J1292" s="64" t="e">
        <f>#REF!+#REF!+#REF!</f>
        <v>#REF!</v>
      </c>
      <c r="K1292" s="176" t="e">
        <f>#REF!+#REF!+#REF!</f>
        <v>#REF!</v>
      </c>
      <c r="L1292" s="176" t="e">
        <f>#REF!+#REF!+#REF!</f>
        <v>#REF!</v>
      </c>
      <c r="M1292" s="176" t="e">
        <f>#REF!+#REF!+#REF!</f>
        <v>#REF!</v>
      </c>
      <c r="N1292" s="176">
        <v>0</v>
      </c>
      <c r="O1292" s="64">
        <v>0</v>
      </c>
      <c r="P1292" s="380">
        <v>0</v>
      </c>
      <c r="Q1292" s="381">
        <v>0</v>
      </c>
    </row>
    <row r="1293" spans="1:17" ht="13.5" hidden="1" thickBot="1">
      <c r="A1293" s="272" t="s">
        <v>65</v>
      </c>
      <c r="B1293" s="26" t="s">
        <v>185</v>
      </c>
      <c r="C1293" s="56" t="s">
        <v>229</v>
      </c>
      <c r="D1293" s="56" t="s">
        <v>150</v>
      </c>
      <c r="E1293" s="108" t="s">
        <v>298</v>
      </c>
      <c r="F1293" s="58" t="s">
        <v>133</v>
      </c>
      <c r="G1293" s="134" t="e">
        <f>G1301</f>
        <v>#REF!</v>
      </c>
      <c r="H1293" s="89" t="e">
        <f>H1301</f>
        <v>#REF!</v>
      </c>
      <c r="I1293" s="89" t="e">
        <f>I1301</f>
        <v>#REF!</v>
      </c>
      <c r="J1293" s="134" t="e">
        <f>J1301</f>
        <v>#REF!</v>
      </c>
      <c r="K1293" s="161" t="e">
        <f>K1301</f>
        <v>#REF!</v>
      </c>
      <c r="L1293" s="187"/>
      <c r="M1293" s="52"/>
      <c r="N1293" s="71"/>
      <c r="O1293" s="71"/>
      <c r="P1293" s="370"/>
      <c r="Q1293" s="371"/>
    </row>
    <row r="1294" spans="1:17" ht="12.75" hidden="1">
      <c r="A1294" s="291" t="s">
        <v>218</v>
      </c>
      <c r="B1294" s="29" t="s">
        <v>185</v>
      </c>
      <c r="C1294" s="30" t="s">
        <v>229</v>
      </c>
      <c r="D1294" s="30" t="s">
        <v>150</v>
      </c>
      <c r="E1294" s="30" t="s">
        <v>219</v>
      </c>
      <c r="F1294" s="32" t="s">
        <v>133</v>
      </c>
      <c r="G1294" s="138">
        <f>G1295+G1298</f>
        <v>0</v>
      </c>
      <c r="H1294" s="34">
        <f>H1295+H1298</f>
        <v>0</v>
      </c>
      <c r="I1294" s="34">
        <f>I1295+I1298</f>
        <v>0</v>
      </c>
      <c r="J1294" s="138">
        <f>J1295+J1298</f>
        <v>0</v>
      </c>
      <c r="K1294" s="183">
        <f>K1295+K1298</f>
        <v>0</v>
      </c>
      <c r="L1294" s="187"/>
      <c r="M1294" s="52"/>
      <c r="N1294" s="71"/>
      <c r="O1294" s="71"/>
      <c r="P1294" s="370"/>
      <c r="Q1294" s="371"/>
    </row>
    <row r="1295" spans="1:17" ht="12.75" hidden="1">
      <c r="A1295" s="270" t="s">
        <v>313</v>
      </c>
      <c r="B1295" s="48" t="s">
        <v>185</v>
      </c>
      <c r="C1295" s="49" t="s">
        <v>229</v>
      </c>
      <c r="D1295" s="49" t="s">
        <v>150</v>
      </c>
      <c r="E1295" s="49" t="s">
        <v>314</v>
      </c>
      <c r="F1295" s="51" t="s">
        <v>133</v>
      </c>
      <c r="G1295" s="71">
        <f aca="true" t="shared" si="217" ref="G1295:K1296">G1296</f>
        <v>0</v>
      </c>
      <c r="H1295" s="52">
        <f t="shared" si="217"/>
        <v>0</v>
      </c>
      <c r="I1295" s="52">
        <f t="shared" si="217"/>
        <v>0</v>
      </c>
      <c r="J1295" s="71">
        <f t="shared" si="217"/>
        <v>0</v>
      </c>
      <c r="K1295" s="173">
        <f t="shared" si="217"/>
        <v>0</v>
      </c>
      <c r="L1295" s="187"/>
      <c r="M1295" s="52"/>
      <c r="N1295" s="71"/>
      <c r="O1295" s="71"/>
      <c r="P1295" s="370"/>
      <c r="Q1295" s="371"/>
    </row>
    <row r="1296" spans="1:17" ht="12.75" hidden="1">
      <c r="A1296" s="270" t="s">
        <v>139</v>
      </c>
      <c r="B1296" s="66" t="s">
        <v>185</v>
      </c>
      <c r="C1296" s="67" t="s">
        <v>229</v>
      </c>
      <c r="D1296" s="67" t="s">
        <v>150</v>
      </c>
      <c r="E1296" s="67" t="s">
        <v>314</v>
      </c>
      <c r="F1296" s="69" t="s">
        <v>140</v>
      </c>
      <c r="G1296" s="65">
        <f t="shared" si="217"/>
        <v>0</v>
      </c>
      <c r="H1296" s="59">
        <f t="shared" si="217"/>
        <v>0</v>
      </c>
      <c r="I1296" s="59">
        <f t="shared" si="217"/>
        <v>0</v>
      </c>
      <c r="J1296" s="65">
        <f t="shared" si="217"/>
        <v>0</v>
      </c>
      <c r="K1296" s="164">
        <f t="shared" si="217"/>
        <v>0</v>
      </c>
      <c r="L1296" s="189"/>
      <c r="M1296" s="59"/>
      <c r="N1296" s="65"/>
      <c r="O1296" s="65"/>
      <c r="P1296" s="374"/>
      <c r="Q1296" s="375"/>
    </row>
    <row r="1297" spans="1:17" ht="12.75" hidden="1">
      <c r="A1297" s="281"/>
      <c r="B1297" s="66"/>
      <c r="C1297" s="67"/>
      <c r="D1297" s="67"/>
      <c r="E1297" s="67"/>
      <c r="F1297" s="69" t="s">
        <v>68</v>
      </c>
      <c r="G1297" s="65"/>
      <c r="H1297" s="59"/>
      <c r="I1297" s="59"/>
      <c r="J1297" s="65"/>
      <c r="K1297" s="164"/>
      <c r="L1297" s="189"/>
      <c r="M1297" s="59"/>
      <c r="N1297" s="65"/>
      <c r="O1297" s="65"/>
      <c r="P1297" s="374"/>
      <c r="Q1297" s="375"/>
    </row>
    <row r="1298" spans="1:17" ht="25.5" hidden="1">
      <c r="A1298" s="281" t="s">
        <v>283</v>
      </c>
      <c r="B1298" s="66" t="s">
        <v>185</v>
      </c>
      <c r="C1298" s="92" t="s">
        <v>229</v>
      </c>
      <c r="D1298" s="92" t="s">
        <v>150</v>
      </c>
      <c r="E1298" s="92" t="s">
        <v>70</v>
      </c>
      <c r="F1298" s="94" t="s">
        <v>133</v>
      </c>
      <c r="G1298" s="71">
        <f aca="true" t="shared" si="218" ref="G1298:K1299">G1299</f>
        <v>0</v>
      </c>
      <c r="H1298" s="52">
        <f t="shared" si="218"/>
        <v>0</v>
      </c>
      <c r="I1298" s="52">
        <f t="shared" si="218"/>
        <v>0</v>
      </c>
      <c r="J1298" s="71">
        <f t="shared" si="218"/>
        <v>0</v>
      </c>
      <c r="K1298" s="173">
        <f t="shared" si="218"/>
        <v>0</v>
      </c>
      <c r="L1298" s="187"/>
      <c r="M1298" s="52"/>
      <c r="N1298" s="71"/>
      <c r="O1298" s="71"/>
      <c r="P1298" s="370"/>
      <c r="Q1298" s="371"/>
    </row>
    <row r="1299" spans="1:17" ht="12.75" hidden="1">
      <c r="A1299" s="270" t="s">
        <v>139</v>
      </c>
      <c r="B1299" s="66" t="s">
        <v>185</v>
      </c>
      <c r="C1299" s="67" t="s">
        <v>229</v>
      </c>
      <c r="D1299" s="67" t="s">
        <v>150</v>
      </c>
      <c r="E1299" s="67" t="s">
        <v>70</v>
      </c>
      <c r="F1299" s="69" t="s">
        <v>140</v>
      </c>
      <c r="G1299" s="65">
        <f t="shared" si="218"/>
        <v>0</v>
      </c>
      <c r="H1299" s="59">
        <f t="shared" si="218"/>
        <v>0</v>
      </c>
      <c r="I1299" s="59">
        <f t="shared" si="218"/>
        <v>0</v>
      </c>
      <c r="J1299" s="65">
        <f t="shared" si="218"/>
        <v>0</v>
      </c>
      <c r="K1299" s="164">
        <f t="shared" si="218"/>
        <v>0</v>
      </c>
      <c r="L1299" s="189"/>
      <c r="M1299" s="59"/>
      <c r="N1299" s="65"/>
      <c r="O1299" s="65"/>
      <c r="P1299" s="374"/>
      <c r="Q1299" s="375"/>
    </row>
    <row r="1300" spans="1:17" ht="13.5" hidden="1" thickBot="1">
      <c r="A1300" s="282"/>
      <c r="B1300" s="86"/>
      <c r="C1300" s="87"/>
      <c r="D1300" s="87"/>
      <c r="E1300" s="87"/>
      <c r="F1300" s="88" t="s">
        <v>68</v>
      </c>
      <c r="G1300" s="70"/>
      <c r="H1300" s="63"/>
      <c r="I1300" s="63"/>
      <c r="J1300" s="70"/>
      <c r="K1300" s="177"/>
      <c r="L1300" s="189"/>
      <c r="M1300" s="59"/>
      <c r="N1300" s="65"/>
      <c r="O1300" s="65"/>
      <c r="P1300" s="374"/>
      <c r="Q1300" s="375"/>
    </row>
    <row r="1301" spans="1:17" ht="38.25" hidden="1">
      <c r="A1301" s="295" t="s">
        <v>220</v>
      </c>
      <c r="B1301" s="43" t="s">
        <v>185</v>
      </c>
      <c r="C1301" s="44" t="s">
        <v>229</v>
      </c>
      <c r="D1301" s="44" t="s">
        <v>150</v>
      </c>
      <c r="E1301" s="106" t="s">
        <v>71</v>
      </c>
      <c r="F1301" s="46" t="s">
        <v>133</v>
      </c>
      <c r="G1301" s="131" t="e">
        <f>G1302</f>
        <v>#REF!</v>
      </c>
      <c r="H1301" s="47" t="e">
        <f>H1302</f>
        <v>#REF!</v>
      </c>
      <c r="I1301" s="47" t="e">
        <f>I1302</f>
        <v>#REF!</v>
      </c>
      <c r="J1301" s="131" t="e">
        <f>J1302</f>
        <v>#REF!</v>
      </c>
      <c r="K1301" s="172" t="e">
        <f>K1302</f>
        <v>#REF!</v>
      </c>
      <c r="L1301" s="187"/>
      <c r="M1301" s="52"/>
      <c r="N1301" s="71"/>
      <c r="O1301" s="71"/>
      <c r="P1301" s="370"/>
      <c r="Q1301" s="371"/>
    </row>
    <row r="1302" spans="1:17" ht="12.75" hidden="1">
      <c r="A1302" s="293" t="s">
        <v>360</v>
      </c>
      <c r="B1302" s="48" t="s">
        <v>185</v>
      </c>
      <c r="C1302" s="53" t="s">
        <v>229</v>
      </c>
      <c r="D1302" s="53" t="s">
        <v>150</v>
      </c>
      <c r="E1302" s="78" t="s">
        <v>71</v>
      </c>
      <c r="F1302" s="55" t="s">
        <v>361</v>
      </c>
      <c r="G1302" s="65" t="e">
        <f>#REF!</f>
        <v>#REF!</v>
      </c>
      <c r="H1302" s="59" t="e">
        <f>#REF!</f>
        <v>#REF!</v>
      </c>
      <c r="I1302" s="59" t="e">
        <f>#REF!</f>
        <v>#REF!</v>
      </c>
      <c r="J1302" s="65" t="e">
        <f>#REF!</f>
        <v>#REF!</v>
      </c>
      <c r="K1302" s="164" t="e">
        <f>#REF!</f>
        <v>#REF!</v>
      </c>
      <c r="L1302" s="189"/>
      <c r="M1302" s="59"/>
      <c r="N1302" s="65"/>
      <c r="O1302" s="65"/>
      <c r="P1302" s="374"/>
      <c r="Q1302" s="375"/>
    </row>
    <row r="1303" spans="1:17" ht="12.75" hidden="1">
      <c r="A1303" s="270" t="s">
        <v>141</v>
      </c>
      <c r="B1303" s="48" t="s">
        <v>185</v>
      </c>
      <c r="C1303" s="53" t="s">
        <v>229</v>
      </c>
      <c r="D1303" s="53" t="s">
        <v>150</v>
      </c>
      <c r="E1303" s="107" t="s">
        <v>67</v>
      </c>
      <c r="F1303" s="55" t="s">
        <v>361</v>
      </c>
      <c r="G1303" s="71">
        <f aca="true" t="shared" si="219" ref="G1303:K1304">G1304</f>
        <v>0</v>
      </c>
      <c r="H1303" s="52">
        <f t="shared" si="219"/>
        <v>0</v>
      </c>
      <c r="I1303" s="52">
        <f t="shared" si="219"/>
        <v>0</v>
      </c>
      <c r="J1303" s="71">
        <f t="shared" si="219"/>
        <v>0</v>
      </c>
      <c r="K1303" s="173">
        <f t="shared" si="219"/>
        <v>0</v>
      </c>
      <c r="L1303" s="187"/>
      <c r="M1303" s="52"/>
      <c r="N1303" s="71"/>
      <c r="O1303" s="71"/>
      <c r="P1303" s="370"/>
      <c r="Q1303" s="371"/>
    </row>
    <row r="1304" spans="1:17" ht="12.75" hidden="1">
      <c r="A1304" s="270" t="s">
        <v>61</v>
      </c>
      <c r="B1304" s="48" t="s">
        <v>185</v>
      </c>
      <c r="C1304" s="53" t="s">
        <v>229</v>
      </c>
      <c r="D1304" s="53" t="s">
        <v>150</v>
      </c>
      <c r="E1304" s="107" t="s">
        <v>67</v>
      </c>
      <c r="F1304" s="55" t="s">
        <v>361</v>
      </c>
      <c r="G1304" s="71">
        <f t="shared" si="219"/>
        <v>0</v>
      </c>
      <c r="H1304" s="52">
        <f t="shared" si="219"/>
        <v>0</v>
      </c>
      <c r="I1304" s="52">
        <f t="shared" si="219"/>
        <v>0</v>
      </c>
      <c r="J1304" s="71">
        <f t="shared" si="219"/>
        <v>0</v>
      </c>
      <c r="K1304" s="173">
        <f t="shared" si="219"/>
        <v>0</v>
      </c>
      <c r="L1304" s="187"/>
      <c r="M1304" s="52"/>
      <c r="N1304" s="71"/>
      <c r="O1304" s="71"/>
      <c r="P1304" s="370"/>
      <c r="Q1304" s="371"/>
    </row>
    <row r="1305" spans="1:17" ht="25.5" hidden="1">
      <c r="A1305" s="270" t="s">
        <v>62</v>
      </c>
      <c r="B1305" s="48" t="s">
        <v>185</v>
      </c>
      <c r="C1305" s="53" t="s">
        <v>229</v>
      </c>
      <c r="D1305" s="53" t="s">
        <v>150</v>
      </c>
      <c r="E1305" s="107" t="s">
        <v>67</v>
      </c>
      <c r="F1305" s="55" t="s">
        <v>361</v>
      </c>
      <c r="G1305" s="71"/>
      <c r="H1305" s="52"/>
      <c r="I1305" s="52"/>
      <c r="J1305" s="71"/>
      <c r="K1305" s="173"/>
      <c r="L1305" s="187"/>
      <c r="M1305" s="52"/>
      <c r="N1305" s="71"/>
      <c r="O1305" s="71"/>
      <c r="P1305" s="370"/>
      <c r="Q1305" s="371"/>
    </row>
    <row r="1306" spans="1:17" ht="12.75" hidden="1">
      <c r="A1306" s="270" t="s">
        <v>54</v>
      </c>
      <c r="B1306" s="48"/>
      <c r="C1306" s="49" t="s">
        <v>229</v>
      </c>
      <c r="D1306" s="49" t="s">
        <v>55</v>
      </c>
      <c r="E1306" s="49" t="s">
        <v>132</v>
      </c>
      <c r="F1306" s="51" t="s">
        <v>194</v>
      </c>
      <c r="G1306" s="71">
        <f aca="true" t="shared" si="220" ref="G1306:K1308">G1307</f>
        <v>0</v>
      </c>
      <c r="H1306" s="52">
        <f t="shared" si="220"/>
        <v>0</v>
      </c>
      <c r="I1306" s="52">
        <f t="shared" si="220"/>
        <v>0</v>
      </c>
      <c r="J1306" s="71">
        <f t="shared" si="220"/>
        <v>0</v>
      </c>
      <c r="K1306" s="173">
        <f t="shared" si="220"/>
        <v>0</v>
      </c>
      <c r="L1306" s="187"/>
      <c r="M1306" s="52"/>
      <c r="N1306" s="71"/>
      <c r="O1306" s="71"/>
      <c r="P1306" s="370"/>
      <c r="Q1306" s="371"/>
    </row>
    <row r="1307" spans="1:17" ht="12.75" hidden="1">
      <c r="A1307" s="270" t="s">
        <v>141</v>
      </c>
      <c r="B1307" s="48"/>
      <c r="C1307" s="49" t="s">
        <v>229</v>
      </c>
      <c r="D1307" s="49" t="s">
        <v>55</v>
      </c>
      <c r="E1307" s="49" t="s">
        <v>132</v>
      </c>
      <c r="F1307" s="51" t="s">
        <v>194</v>
      </c>
      <c r="G1307" s="71">
        <f t="shared" si="220"/>
        <v>0</v>
      </c>
      <c r="H1307" s="52">
        <f t="shared" si="220"/>
        <v>0</v>
      </c>
      <c r="I1307" s="52">
        <f t="shared" si="220"/>
        <v>0</v>
      </c>
      <c r="J1307" s="71">
        <f t="shared" si="220"/>
        <v>0</v>
      </c>
      <c r="K1307" s="173">
        <f t="shared" si="220"/>
        <v>0</v>
      </c>
      <c r="L1307" s="187"/>
      <c r="M1307" s="52"/>
      <c r="N1307" s="71"/>
      <c r="O1307" s="71"/>
      <c r="P1307" s="370"/>
      <c r="Q1307" s="371"/>
    </row>
    <row r="1308" spans="1:17" ht="12.75" hidden="1">
      <c r="A1308" s="270" t="s">
        <v>61</v>
      </c>
      <c r="B1308" s="48"/>
      <c r="C1308" s="49" t="s">
        <v>229</v>
      </c>
      <c r="D1308" s="49" t="s">
        <v>55</v>
      </c>
      <c r="E1308" s="49" t="s">
        <v>132</v>
      </c>
      <c r="F1308" s="51" t="s">
        <v>194</v>
      </c>
      <c r="G1308" s="71">
        <f t="shared" si="220"/>
        <v>0</v>
      </c>
      <c r="H1308" s="52">
        <f t="shared" si="220"/>
        <v>0</v>
      </c>
      <c r="I1308" s="52">
        <f t="shared" si="220"/>
        <v>0</v>
      </c>
      <c r="J1308" s="71">
        <f t="shared" si="220"/>
        <v>0</v>
      </c>
      <c r="K1308" s="173">
        <f t="shared" si="220"/>
        <v>0</v>
      </c>
      <c r="L1308" s="187"/>
      <c r="M1308" s="52"/>
      <c r="N1308" s="71"/>
      <c r="O1308" s="71"/>
      <c r="P1308" s="370"/>
      <c r="Q1308" s="371"/>
    </row>
    <row r="1309" spans="1:17" ht="25.5" hidden="1">
      <c r="A1309" s="270" t="s">
        <v>62</v>
      </c>
      <c r="B1309" s="48"/>
      <c r="C1309" s="49" t="s">
        <v>229</v>
      </c>
      <c r="D1309" s="49" t="s">
        <v>55</v>
      </c>
      <c r="E1309" s="49" t="s">
        <v>132</v>
      </c>
      <c r="F1309" s="51" t="s">
        <v>194</v>
      </c>
      <c r="G1309" s="71"/>
      <c r="H1309" s="52"/>
      <c r="I1309" s="52"/>
      <c r="J1309" s="71"/>
      <c r="K1309" s="173"/>
      <c r="L1309" s="187"/>
      <c r="M1309" s="52"/>
      <c r="N1309" s="71"/>
      <c r="O1309" s="71"/>
      <c r="P1309" s="370"/>
      <c r="Q1309" s="371"/>
    </row>
    <row r="1310" spans="1:17" ht="12.75" hidden="1">
      <c r="A1310" s="270" t="s">
        <v>217</v>
      </c>
      <c r="B1310" s="48"/>
      <c r="C1310" s="53"/>
      <c r="D1310" s="53"/>
      <c r="E1310" s="107"/>
      <c r="F1310" s="55"/>
      <c r="G1310" s="71">
        <f>G1309</f>
        <v>0</v>
      </c>
      <c r="H1310" s="52">
        <f>H1309</f>
        <v>0</v>
      </c>
      <c r="I1310" s="52">
        <f>I1309</f>
        <v>0</v>
      </c>
      <c r="J1310" s="71">
        <f>J1309</f>
        <v>0</v>
      </c>
      <c r="K1310" s="173">
        <f>K1309</f>
        <v>0</v>
      </c>
      <c r="L1310" s="187"/>
      <c r="M1310" s="52"/>
      <c r="N1310" s="71"/>
      <c r="O1310" s="71"/>
      <c r="P1310" s="370"/>
      <c r="Q1310" s="371"/>
    </row>
    <row r="1311" spans="1:17" ht="12.75" hidden="1">
      <c r="A1311" s="270"/>
      <c r="B1311" s="48"/>
      <c r="C1311" s="53"/>
      <c r="D1311" s="53"/>
      <c r="E1311" s="107"/>
      <c r="F1311" s="55"/>
      <c r="G1311" s="71"/>
      <c r="H1311" s="52"/>
      <c r="I1311" s="52"/>
      <c r="J1311" s="71"/>
      <c r="K1311" s="173"/>
      <c r="L1311" s="187"/>
      <c r="M1311" s="52"/>
      <c r="N1311" s="71"/>
      <c r="O1311" s="71"/>
      <c r="P1311" s="370"/>
      <c r="Q1311" s="371"/>
    </row>
    <row r="1312" spans="1:17" ht="12.75" hidden="1">
      <c r="A1312" s="270"/>
      <c r="B1312" s="48"/>
      <c r="C1312" s="53"/>
      <c r="D1312" s="53"/>
      <c r="E1312" s="107"/>
      <c r="F1312" s="55"/>
      <c r="G1312" s="71"/>
      <c r="H1312" s="52"/>
      <c r="I1312" s="52"/>
      <c r="J1312" s="71"/>
      <c r="K1312" s="173"/>
      <c r="L1312" s="187"/>
      <c r="M1312" s="52"/>
      <c r="N1312" s="71"/>
      <c r="O1312" s="71"/>
      <c r="P1312" s="370"/>
      <c r="Q1312" s="371"/>
    </row>
    <row r="1313" spans="1:17" ht="12.75" hidden="1">
      <c r="A1313" s="270"/>
      <c r="B1313" s="48"/>
      <c r="C1313" s="53"/>
      <c r="D1313" s="53"/>
      <c r="E1313" s="107"/>
      <c r="F1313" s="55"/>
      <c r="G1313" s="71"/>
      <c r="H1313" s="52"/>
      <c r="I1313" s="52"/>
      <c r="J1313" s="71"/>
      <c r="K1313" s="173"/>
      <c r="L1313" s="187"/>
      <c r="M1313" s="52"/>
      <c r="N1313" s="71"/>
      <c r="O1313" s="71"/>
      <c r="P1313" s="370"/>
      <c r="Q1313" s="371"/>
    </row>
    <row r="1314" spans="1:17" ht="12.75" hidden="1">
      <c r="A1314" s="270"/>
      <c r="B1314" s="48"/>
      <c r="C1314" s="53"/>
      <c r="D1314" s="53"/>
      <c r="E1314" s="107"/>
      <c r="F1314" s="55"/>
      <c r="G1314" s="71"/>
      <c r="H1314" s="52"/>
      <c r="I1314" s="52"/>
      <c r="J1314" s="71"/>
      <c r="K1314" s="173"/>
      <c r="L1314" s="187"/>
      <c r="M1314" s="52"/>
      <c r="N1314" s="71"/>
      <c r="O1314" s="71"/>
      <c r="P1314" s="370"/>
      <c r="Q1314" s="371"/>
    </row>
    <row r="1315" spans="1:17" ht="12.75" hidden="1">
      <c r="A1315" s="270"/>
      <c r="B1315" s="48"/>
      <c r="C1315" s="53"/>
      <c r="D1315" s="53"/>
      <c r="E1315" s="107"/>
      <c r="F1315" s="55"/>
      <c r="G1315" s="71"/>
      <c r="H1315" s="52"/>
      <c r="I1315" s="52"/>
      <c r="J1315" s="71"/>
      <c r="K1315" s="173"/>
      <c r="L1315" s="187"/>
      <c r="M1315" s="52"/>
      <c r="N1315" s="71"/>
      <c r="O1315" s="71"/>
      <c r="P1315" s="370"/>
      <c r="Q1315" s="371"/>
    </row>
    <row r="1316" spans="1:17" ht="12.75" hidden="1">
      <c r="A1316" s="270"/>
      <c r="B1316" s="48"/>
      <c r="C1316" s="53"/>
      <c r="D1316" s="53"/>
      <c r="E1316" s="107"/>
      <c r="F1316" s="55"/>
      <c r="G1316" s="71"/>
      <c r="H1316" s="52"/>
      <c r="I1316" s="52"/>
      <c r="J1316" s="71"/>
      <c r="K1316" s="173"/>
      <c r="L1316" s="187"/>
      <c r="M1316" s="52"/>
      <c r="N1316" s="71"/>
      <c r="O1316" s="71"/>
      <c r="P1316" s="370"/>
      <c r="Q1316" s="371"/>
    </row>
    <row r="1317" spans="1:17" ht="12.75" hidden="1">
      <c r="A1317" s="270"/>
      <c r="B1317" s="48"/>
      <c r="C1317" s="53"/>
      <c r="D1317" s="53"/>
      <c r="E1317" s="107"/>
      <c r="F1317" s="55"/>
      <c r="G1317" s="71"/>
      <c r="H1317" s="52"/>
      <c r="I1317" s="52"/>
      <c r="J1317" s="71"/>
      <c r="K1317" s="173"/>
      <c r="L1317" s="187"/>
      <c r="M1317" s="52"/>
      <c r="N1317" s="71"/>
      <c r="O1317" s="71"/>
      <c r="P1317" s="370"/>
      <c r="Q1317" s="371"/>
    </row>
    <row r="1318" spans="1:17" ht="12.75" hidden="1">
      <c r="A1318" s="270"/>
      <c r="B1318" s="48"/>
      <c r="C1318" s="53"/>
      <c r="D1318" s="53"/>
      <c r="E1318" s="107"/>
      <c r="F1318" s="55"/>
      <c r="G1318" s="71"/>
      <c r="H1318" s="52"/>
      <c r="I1318" s="52"/>
      <c r="J1318" s="71"/>
      <c r="K1318" s="173"/>
      <c r="L1318" s="187"/>
      <c r="M1318" s="52"/>
      <c r="N1318" s="71"/>
      <c r="O1318" s="71"/>
      <c r="P1318" s="370"/>
      <c r="Q1318" s="371"/>
    </row>
    <row r="1319" spans="1:17" ht="12.75" hidden="1">
      <c r="A1319" s="270"/>
      <c r="B1319" s="48"/>
      <c r="C1319" s="53"/>
      <c r="D1319" s="53"/>
      <c r="E1319" s="107"/>
      <c r="F1319" s="55"/>
      <c r="G1319" s="71"/>
      <c r="H1319" s="52"/>
      <c r="I1319" s="52"/>
      <c r="J1319" s="71"/>
      <c r="K1319" s="173"/>
      <c r="L1319" s="187"/>
      <c r="M1319" s="52"/>
      <c r="N1319" s="71"/>
      <c r="O1319" s="71"/>
      <c r="P1319" s="370"/>
      <c r="Q1319" s="371"/>
    </row>
    <row r="1320" spans="1:17" ht="12.75" hidden="1">
      <c r="A1320" s="270"/>
      <c r="B1320" s="48"/>
      <c r="C1320" s="53"/>
      <c r="D1320" s="53"/>
      <c r="E1320" s="107"/>
      <c r="F1320" s="55"/>
      <c r="G1320" s="71"/>
      <c r="H1320" s="52"/>
      <c r="I1320" s="52"/>
      <c r="J1320" s="71"/>
      <c r="K1320" s="173"/>
      <c r="L1320" s="187"/>
      <c r="M1320" s="52"/>
      <c r="N1320" s="71"/>
      <c r="O1320" s="71"/>
      <c r="P1320" s="370"/>
      <c r="Q1320" s="371"/>
    </row>
    <row r="1321" spans="1:17" ht="12.75" hidden="1">
      <c r="A1321" s="270"/>
      <c r="B1321" s="48"/>
      <c r="C1321" s="53"/>
      <c r="D1321" s="53"/>
      <c r="E1321" s="107"/>
      <c r="F1321" s="55"/>
      <c r="G1321" s="71"/>
      <c r="H1321" s="52"/>
      <c r="I1321" s="52"/>
      <c r="J1321" s="71"/>
      <c r="K1321" s="173"/>
      <c r="L1321" s="187"/>
      <c r="M1321" s="52"/>
      <c r="N1321" s="71"/>
      <c r="O1321" s="71"/>
      <c r="P1321" s="370"/>
      <c r="Q1321" s="371"/>
    </row>
    <row r="1322" spans="1:17" ht="12.75" hidden="1">
      <c r="A1322" s="270"/>
      <c r="B1322" s="48"/>
      <c r="C1322" s="53"/>
      <c r="D1322" s="53"/>
      <c r="E1322" s="107"/>
      <c r="F1322" s="55"/>
      <c r="G1322" s="71"/>
      <c r="H1322" s="52"/>
      <c r="I1322" s="52"/>
      <c r="J1322" s="71"/>
      <c r="K1322" s="173"/>
      <c r="L1322" s="187"/>
      <c r="M1322" s="52"/>
      <c r="N1322" s="71"/>
      <c r="O1322" s="71"/>
      <c r="P1322" s="370"/>
      <c r="Q1322" s="371"/>
    </row>
    <row r="1323" spans="1:17" ht="12.75" hidden="1">
      <c r="A1323" s="270"/>
      <c r="B1323" s="48"/>
      <c r="C1323" s="53"/>
      <c r="D1323" s="53"/>
      <c r="E1323" s="107"/>
      <c r="F1323" s="55"/>
      <c r="G1323" s="71"/>
      <c r="H1323" s="52"/>
      <c r="I1323" s="52"/>
      <c r="J1323" s="71"/>
      <c r="K1323" s="173"/>
      <c r="L1323" s="187"/>
      <c r="M1323" s="52"/>
      <c r="N1323" s="71"/>
      <c r="O1323" s="71"/>
      <c r="P1323" s="370"/>
      <c r="Q1323" s="371"/>
    </row>
    <row r="1324" spans="1:17" ht="13.5" hidden="1" thickBot="1">
      <c r="A1324" s="270"/>
      <c r="B1324" s="48"/>
      <c r="C1324" s="53"/>
      <c r="D1324" s="53"/>
      <c r="E1324" s="107"/>
      <c r="F1324" s="55"/>
      <c r="G1324" s="71"/>
      <c r="H1324" s="52"/>
      <c r="I1324" s="52"/>
      <c r="J1324" s="71"/>
      <c r="K1324" s="173"/>
      <c r="L1324" s="187"/>
      <c r="M1324" s="52"/>
      <c r="N1324" s="71"/>
      <c r="O1324" s="71"/>
      <c r="P1324" s="370"/>
      <c r="Q1324" s="371"/>
    </row>
    <row r="1325" spans="1:17" ht="13.5" hidden="1" thickBot="1">
      <c r="A1325" s="274" t="s">
        <v>69</v>
      </c>
      <c r="B1325" s="21" t="s">
        <v>185</v>
      </c>
      <c r="C1325" s="22" t="s">
        <v>229</v>
      </c>
      <c r="D1325" s="22" t="s">
        <v>150</v>
      </c>
      <c r="E1325" s="22"/>
      <c r="F1325" s="24"/>
      <c r="G1325" s="132" t="e">
        <f>#REF!+#REF!+#REF!</f>
        <v>#REF!</v>
      </c>
      <c r="H1325" s="132" t="e">
        <f>#REF!+#REF!+#REF!</f>
        <v>#REF!</v>
      </c>
      <c r="I1325" s="132" t="e">
        <f>#REF!+#REF!+#REF!</f>
        <v>#REF!</v>
      </c>
      <c r="J1325" s="132" t="e">
        <f>#REF!+#REF!+#REF!</f>
        <v>#REF!</v>
      </c>
      <c r="K1325" s="175" t="e">
        <f>#REF!+#REF!+#REF!</f>
        <v>#REF!</v>
      </c>
      <c r="L1325" s="187"/>
      <c r="M1325" s="52"/>
      <c r="N1325" s="71"/>
      <c r="O1325" s="71"/>
      <c r="P1325" s="370"/>
      <c r="Q1325" s="371"/>
    </row>
    <row r="1326" spans="1:17" ht="16.5" customHeight="1" thickBot="1">
      <c r="A1326" s="267" t="s">
        <v>72</v>
      </c>
      <c r="B1326" s="118"/>
      <c r="C1326" s="119"/>
      <c r="D1326" s="119"/>
      <c r="E1326" s="119"/>
      <c r="F1326" s="121"/>
      <c r="G1326" s="129" t="e">
        <f aca="true" t="shared" si="221" ref="G1326:N1326">G17+G349+G408+G531+G664+G890+G959+G1275+G657+G1199</f>
        <v>#REF!</v>
      </c>
      <c r="H1326" s="129" t="e">
        <f t="shared" si="221"/>
        <v>#REF!</v>
      </c>
      <c r="I1326" s="129" t="e">
        <f t="shared" si="221"/>
        <v>#REF!</v>
      </c>
      <c r="J1326" s="129" t="e">
        <f t="shared" si="221"/>
        <v>#REF!</v>
      </c>
      <c r="K1326" s="170" t="e">
        <f t="shared" si="221"/>
        <v>#REF!</v>
      </c>
      <c r="L1326" s="170" t="e">
        <f t="shared" si="221"/>
        <v>#REF!</v>
      </c>
      <c r="M1326" s="170" t="e">
        <f t="shared" si="221"/>
        <v>#REF!</v>
      </c>
      <c r="N1326" s="170" t="e">
        <f t="shared" si="221"/>
        <v>#REF!</v>
      </c>
      <c r="O1326" s="129">
        <f>O17+O349+O408+O531+O664+O890+O959+O1275+O657+O1198</f>
        <v>782185.1871160001</v>
      </c>
      <c r="P1326" s="364">
        <f>P17+P349+P408+P531+P664+P890+P959+P1275+P657+P1199+P1270</f>
        <v>822577.2294160001</v>
      </c>
      <c r="Q1326" s="365">
        <f>Q17+Q349+Q408+Q531+Q664+Q890+Q959+Q1275+Q657+Q1199+Q1270</f>
        <v>869135.502416</v>
      </c>
    </row>
    <row r="1327" spans="1:17" ht="17.25" customHeight="1">
      <c r="A1327" s="216"/>
      <c r="B1327" s="217"/>
      <c r="C1327" s="147"/>
      <c r="D1327" s="147"/>
      <c r="E1327" s="147"/>
      <c r="F1327" s="147"/>
      <c r="G1327" s="218"/>
      <c r="H1327" s="218"/>
      <c r="I1327" s="218"/>
      <c r="J1327" s="218"/>
      <c r="K1327" s="218"/>
      <c r="L1327" s="218"/>
      <c r="M1327" s="218"/>
      <c r="N1327" s="218"/>
      <c r="O1327" s="218"/>
      <c r="P1327" s="218"/>
      <c r="Q1327" s="218"/>
    </row>
    <row r="1328" spans="1:17" ht="15.75" customHeight="1">
      <c r="A1328" s="144" t="s">
        <v>73</v>
      </c>
      <c r="B1328" s="145"/>
      <c r="C1328" s="145"/>
      <c r="D1328" s="145"/>
      <c r="E1328" s="145"/>
      <c r="F1328" s="145"/>
      <c r="G1328" s="218"/>
      <c r="H1328" s="218"/>
      <c r="I1328" s="218"/>
      <c r="J1328" s="218"/>
      <c r="K1328" s="218"/>
      <c r="L1328" s="218"/>
      <c r="M1328" s="218"/>
      <c r="N1328" s="218"/>
      <c r="O1328" s="218"/>
      <c r="P1328" s="218"/>
      <c r="Q1328" s="218"/>
    </row>
    <row r="1329" spans="1:17" ht="17.25" customHeight="1">
      <c r="A1329" s="144" t="s">
        <v>74</v>
      </c>
      <c r="B1329" s="147"/>
      <c r="C1329" s="148"/>
      <c r="D1329" s="151"/>
      <c r="E1329" s="151"/>
      <c r="F1329" s="150" t="s">
        <v>104</v>
      </c>
      <c r="G1329" s="218"/>
      <c r="H1329" s="218"/>
      <c r="I1329" s="218"/>
      <c r="J1329" s="218"/>
      <c r="K1329" s="218"/>
      <c r="L1329" s="218"/>
      <c r="M1329" s="218"/>
      <c r="N1329" s="218"/>
      <c r="O1329" s="218"/>
      <c r="P1329" s="218"/>
      <c r="Q1329" s="218"/>
    </row>
    <row r="1330" spans="1:17" ht="16.5" customHeight="1">
      <c r="A1330" s="109"/>
      <c r="B1330" s="110"/>
      <c r="C1330" s="110"/>
      <c r="D1330" s="110"/>
      <c r="E1330" s="110"/>
      <c r="F1330" s="110"/>
      <c r="G1330" s="111"/>
      <c r="H1330" s="111"/>
      <c r="I1330" s="111"/>
      <c r="J1330" s="111"/>
      <c r="K1330" s="111"/>
      <c r="L1330" s="111"/>
      <c r="M1330" s="111"/>
      <c r="N1330" s="167"/>
      <c r="O1330" s="167"/>
      <c r="P1330" s="167"/>
      <c r="Q1330" s="167"/>
    </row>
    <row r="1331" spans="7:17" ht="15.75">
      <c r="G1331" s="146"/>
      <c r="H1331" s="142">
        <v>843</v>
      </c>
      <c r="I1331" s="142">
        <v>843</v>
      </c>
      <c r="J1331" s="146" t="e">
        <f>J1330-J1326</f>
        <v>#REF!</v>
      </c>
      <c r="K1331" s="206">
        <v>774133.28468</v>
      </c>
      <c r="L1331" s="146"/>
      <c r="M1331" s="146"/>
      <c r="N1331" s="206"/>
      <c r="O1331" s="206"/>
      <c r="P1331" s="206"/>
      <c r="Q1331" s="206"/>
    </row>
    <row r="1332" spans="7:17" ht="15.75">
      <c r="G1332" s="149"/>
      <c r="H1332" s="112" t="s">
        <v>75</v>
      </c>
      <c r="I1332" s="112"/>
      <c r="J1332" s="149"/>
      <c r="K1332" s="158"/>
      <c r="L1332" s="158"/>
      <c r="M1332" s="158"/>
      <c r="N1332" s="158"/>
      <c r="O1332" s="158"/>
      <c r="P1332" s="158"/>
      <c r="Q1332" s="158"/>
    </row>
    <row r="1333" ht="15.75">
      <c r="Q1333" s="253"/>
    </row>
    <row r="1334" spans="8:9" ht="12.75">
      <c r="H1334" s="6">
        <v>623056.1</v>
      </c>
      <c r="I1334" s="6">
        <v>634583.8</v>
      </c>
    </row>
  </sheetData>
  <sheetProtection/>
  <mergeCells count="3">
    <mergeCell ref="A9:Q9"/>
    <mergeCell ref="A10:Q10"/>
    <mergeCell ref="A11:Q11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ShargorodskayaVA</cp:lastModifiedBy>
  <cp:lastPrinted>2013-11-13T23:09:47Z</cp:lastPrinted>
  <dcterms:created xsi:type="dcterms:W3CDTF">1996-10-08T23:32:33Z</dcterms:created>
  <dcterms:modified xsi:type="dcterms:W3CDTF">2013-12-25T04:17:04Z</dcterms:modified>
  <cp:category/>
  <cp:version/>
  <cp:contentType/>
  <cp:contentStatus/>
</cp:coreProperties>
</file>